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drawings/drawing5.xml" ContentType="application/vnd.openxmlformats-officedocument.drawing+xml"/>
  <Override PartName="/xl/pivotTables/pivotTable2.xml" ContentType="application/vnd.openxmlformats-officedocument.spreadsheetml.pivotTable+xml"/>
  <Override PartName="/xl/comments2.xml" ContentType="application/vnd.openxmlformats-officedocument.spreadsheetml.comments+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Personal/3in! Football/"/>
    </mc:Choice>
  </mc:AlternateContent>
  <xr:revisionPtr revIDLastSave="0" documentId="8_{651F285C-6D34-4FAC-8125-3633BF4ADD90}" xr6:coauthVersionLast="47" xr6:coauthVersionMax="47" xr10:uidLastSave="{00000000-0000-0000-0000-000000000000}"/>
  <bookViews>
    <workbookView xWindow="-98" yWindow="-98" windowWidth="20715" windowHeight="13276" tabRatio="879" activeTab="1" xr2:uid="{00000000-000D-0000-FFFF-FFFF00000000}"/>
  </bookViews>
  <sheets>
    <sheet name="Home" sheetId="52" r:id="rId1"/>
    <sheet name="Table" sheetId="22" r:id="rId2"/>
    <sheet name="Weekly" sheetId="2" r:id="rId3"/>
    <sheet name="Fixture" sheetId="23" r:id="rId4"/>
    <sheet name="Cup" sheetId="25" r:id="rId5"/>
    <sheet name="Images" sheetId="34" r:id="rId6"/>
    <sheet name="Picks" sheetId="5" r:id="rId7"/>
    <sheet name="Match" sheetId="7" r:id="rId8"/>
    <sheet name="TopPicks" sheetId="39" r:id="rId9"/>
    <sheet name="Results" sheetId="1" r:id="rId10"/>
    <sheet name="3of3" sheetId="50" r:id="rId11"/>
    <sheet name="CupDraw" sheetId="13" r:id="rId12"/>
    <sheet name="What-If" sheetId="6" r:id="rId13"/>
    <sheet name="Predictions" sheetId="24" r:id="rId14"/>
    <sheet name="Players" sheetId="44" state="hidden" r:id="rId15"/>
    <sheet name="Diary" sheetId="9" r:id="rId16"/>
    <sheet name="Odds" sheetId="3" r:id="rId17"/>
    <sheet name="PizzaRace" sheetId="54" r:id="rId18"/>
    <sheet name="Prizelist" sheetId="10" r:id="rId19"/>
    <sheet name="Prizes" sheetId="48" r:id="rId20"/>
    <sheet name="Perms" sheetId="55" r:id="rId21"/>
    <sheet name="FAQ" sheetId="42" r:id="rId22"/>
  </sheets>
  <definedNames>
    <definedName name="_xlnm._FilterDatabase" localSheetId="3" hidden="1">Fixture!$A$1:$D$64</definedName>
    <definedName name="_xlnm._FilterDatabase" localSheetId="7" hidden="1">Match!$A$1:$AC$139</definedName>
    <definedName name="_xlnm._FilterDatabase" localSheetId="6" hidden="1">Picks!$A$1:$AN$184</definedName>
    <definedName name="_xlnm._FilterDatabase" localSheetId="14" hidden="1">Players!$A$1:$E$100</definedName>
    <definedName name="_xlnm._FilterDatabase" localSheetId="9" hidden="1">Results!$A$1:$AI$244</definedName>
    <definedName name="_xlnm._FilterDatabase" localSheetId="1" hidden="1">Table!$A$1:$P$52</definedName>
    <definedName name="_xlnm._FilterDatabase" localSheetId="2" hidden="1">Weekly!$A$1:$BX$52</definedName>
    <definedName name="all_scores" localSheetId="1">Weekly!#REF!</definedName>
    <definedName name="all_scores">Weekly!#REF!</definedName>
    <definedName name="choices">Odds!$G$2:$G$139</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Inactive">Table!$R$1</definedName>
    <definedName name="nonentrants">Prizelist!$B$22</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4">Cup!$B$2:$W$93</definedName>
    <definedName name="_xlnm.Print_Area" localSheetId="11">CupDraw!$I$1:$AE$93</definedName>
    <definedName name="_xlnm.Print_Area" localSheetId="15">Diary!$B$3:$F$25</definedName>
    <definedName name="_xlnm.Print_Area" localSheetId="21">FAQ!$A$1:$C$78</definedName>
    <definedName name="_xlnm.Print_Area" localSheetId="3">Fixture!$A$1:$C$64</definedName>
    <definedName name="_xlnm.Print_Area" localSheetId="5">Images!$B$2:$AL$34</definedName>
    <definedName name="_xlnm.Print_Area" localSheetId="16">Odds!$B$1:$E$46</definedName>
    <definedName name="_xlnm.Print_Area" localSheetId="20">Perms!$B$2:$O$50</definedName>
    <definedName name="_xlnm.Print_Area" localSheetId="6">Picks!$A$1:$N$151</definedName>
    <definedName name="_xlnm.Print_Area" localSheetId="13">Predictions!$A$1:$G$151</definedName>
    <definedName name="_xlnm.Print_Area" localSheetId="18">Prizelist!$A$1:$B$28</definedName>
    <definedName name="_xlnm.Print_Area" localSheetId="9">Results!$I$1:$W$53</definedName>
    <definedName name="_xlnm.Print_Area" localSheetId="1">Table!$A$1:$H$52</definedName>
    <definedName name="_xlnm.Print_Area" localSheetId="2">Weekly!$A$1:$M$12</definedName>
    <definedName name="_xlnm.Print_Area" localSheetId="12">'What-If'!$A$1:$R$7</definedName>
    <definedName name="SeasonTitle">Images!$D$1</definedName>
    <definedName name="thisweekscore">Weekly!$H$2:$H$51</definedName>
    <definedName name="TopMaxScores">Picks!$AJ$2:$AJ$51</definedName>
    <definedName name="TopScores">Picks!$AE$2:$AE$51</definedName>
    <definedName name="totalscores">Weekly!$F$2:$F$51</definedName>
    <definedName name="twentysixth">Prizelist!#REF!</definedName>
  </definedNames>
  <calcPr calcId="191029"/>
  <pivotCaches>
    <pivotCache cacheId="8" r:id="rId23"/>
    <pivotCache cacheId="14" r:id="rId24"/>
    <pivotCache cacheId="19"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1" i="22" l="1"/>
  <c r="AA10" i="25"/>
  <c r="AA9" i="25"/>
  <c r="AA8" i="25"/>
  <c r="AA7" i="25"/>
  <c r="AA6" i="25"/>
  <c r="AA5" i="25"/>
  <c r="AA4" i="25"/>
  <c r="AA3" i="25"/>
  <c r="N22" i="34"/>
  <c r="M2" i="48"/>
  <c r="B23" i="10"/>
  <c r="B11" i="5"/>
  <c r="B12" i="5"/>
  <c r="B38" i="5" l="1"/>
  <c r="B39" i="5"/>
  <c r="K24" i="9"/>
  <c r="I24" i="9"/>
  <c r="G24" i="9"/>
  <c r="K23" i="9"/>
  <c r="I23" i="9"/>
  <c r="G23" i="9"/>
  <c r="K22" i="9"/>
  <c r="I22" i="9"/>
  <c r="G22" i="9"/>
  <c r="K21" i="9"/>
  <c r="I21" i="9"/>
  <c r="G21" i="9"/>
  <c r="K20" i="9"/>
  <c r="I20" i="9"/>
  <c r="G20" i="9"/>
  <c r="K19" i="9"/>
  <c r="I19" i="9"/>
  <c r="G19" i="9"/>
  <c r="K18" i="9"/>
  <c r="I18" i="9"/>
  <c r="G18" i="9"/>
  <c r="K17" i="9"/>
  <c r="I17" i="9"/>
  <c r="G17" i="9"/>
  <c r="K16" i="9"/>
  <c r="I16" i="9"/>
  <c r="G16" i="9"/>
  <c r="K15" i="9"/>
  <c r="I15" i="9"/>
  <c r="G15" i="9"/>
  <c r="K14" i="9"/>
  <c r="I14" i="9"/>
  <c r="G14" i="9"/>
  <c r="K13" i="9"/>
  <c r="I13" i="9"/>
  <c r="G13" i="9"/>
  <c r="K12" i="9"/>
  <c r="I12" i="9"/>
  <c r="G12" i="9"/>
  <c r="K11" i="9"/>
  <c r="I11" i="9"/>
  <c r="G11" i="9"/>
  <c r="K10" i="9"/>
  <c r="I10" i="9"/>
  <c r="G10" i="9"/>
  <c r="K9" i="9"/>
  <c r="I9" i="9"/>
  <c r="G9" i="9"/>
  <c r="K8" i="9"/>
  <c r="I8" i="9"/>
  <c r="G8" i="9"/>
  <c r="K7" i="9"/>
  <c r="I7" i="9"/>
  <c r="G7" i="9"/>
  <c r="K6" i="9"/>
  <c r="I6" i="9"/>
  <c r="G6" i="9"/>
  <c r="K5" i="9"/>
  <c r="I5" i="9"/>
  <c r="G5" i="9"/>
  <c r="P2" i="7"/>
  <c r="P3" i="7"/>
  <c r="P4" i="7"/>
  <c r="P5" i="7"/>
  <c r="P6" i="7"/>
  <c r="P7" i="7"/>
  <c r="P8" i="7"/>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P37" i="7"/>
  <c r="P38" i="7"/>
  <c r="P39" i="7"/>
  <c r="P40" i="7"/>
  <c r="P41" i="7"/>
  <c r="P42" i="7"/>
  <c r="P43" i="7"/>
  <c r="P44" i="7"/>
  <c r="P45" i="7"/>
  <c r="P46" i="7"/>
  <c r="A1" i="23"/>
  <c r="B133" i="5" l="1"/>
  <c r="AF2" i="25"/>
  <c r="AA2" i="25"/>
  <c r="V2" i="25"/>
  <c r="P2" i="25"/>
  <c r="AU1" i="13"/>
  <c r="AK2" i="25" s="1"/>
  <c r="AO1" i="13"/>
  <c r="AI1" i="13"/>
  <c r="AC1" i="13"/>
  <c r="W1" i="13"/>
  <c r="Q1" i="13"/>
  <c r="J2" i="25" s="1"/>
  <c r="K1" i="13"/>
  <c r="I8" i="1" l="1"/>
  <c r="B1" i="23"/>
  <c r="AF6" i="25" l="1"/>
  <c r="AF5" i="25"/>
  <c r="AF4" i="25"/>
  <c r="AF3" i="25"/>
  <c r="K3" i="34"/>
  <c r="BU54" i="2"/>
  <c r="BR54" i="2"/>
  <c r="BO54" i="2"/>
  <c r="BL54" i="2"/>
  <c r="BI54" i="2"/>
  <c r="BF54" i="2"/>
  <c r="BC54" i="2"/>
  <c r="AZ54" i="2"/>
  <c r="AW54" i="2"/>
  <c r="AT54" i="2"/>
  <c r="AQ54" i="2"/>
  <c r="AN54" i="2"/>
  <c r="AK54" i="2"/>
  <c r="AH54" i="2"/>
  <c r="AE54" i="2"/>
  <c r="AB54" i="2"/>
  <c r="Y54" i="2"/>
  <c r="V54" i="2"/>
  <c r="S54" i="2"/>
  <c r="P54" i="2"/>
  <c r="K54" i="2"/>
  <c r="Q34" i="25"/>
  <c r="P34" i="25"/>
  <c r="P33" i="25"/>
  <c r="Q32" i="25"/>
  <c r="P32" i="25"/>
  <c r="P31" i="25"/>
  <c r="Q30" i="25"/>
  <c r="P30" i="25"/>
  <c r="P29" i="25"/>
  <c r="Q28" i="25"/>
  <c r="P28" i="25"/>
  <c r="P27" i="25"/>
  <c r="Q26" i="25"/>
  <c r="P26" i="25"/>
  <c r="P25" i="25"/>
  <c r="Q24" i="25"/>
  <c r="P24" i="25"/>
  <c r="P23" i="25"/>
  <c r="Q22" i="25"/>
  <c r="P22" i="25"/>
  <c r="P21" i="25"/>
  <c r="Q20" i="25"/>
  <c r="P20" i="25"/>
  <c r="P19" i="25"/>
  <c r="Q18" i="25"/>
  <c r="P18" i="25"/>
  <c r="P17" i="25"/>
  <c r="Q16" i="25"/>
  <c r="P16" i="25"/>
  <c r="P15" i="25"/>
  <c r="Q14" i="25"/>
  <c r="P14" i="25"/>
  <c r="P13" i="25"/>
  <c r="Q12" i="25"/>
  <c r="P12" i="25"/>
  <c r="P11" i="25"/>
  <c r="Q10" i="25"/>
  <c r="P10" i="25"/>
  <c r="P9" i="25"/>
  <c r="Q8" i="25"/>
  <c r="P8" i="25"/>
  <c r="P7" i="25"/>
  <c r="Q6" i="25"/>
  <c r="P6" i="25"/>
  <c r="P5" i="25"/>
  <c r="Q4" i="25"/>
  <c r="P4" i="25"/>
  <c r="P3" i="25"/>
  <c r="O40" i="25"/>
  <c r="B40" i="5"/>
  <c r="O39" i="25"/>
  <c r="P39" i="25"/>
  <c r="P40" i="25"/>
  <c r="AJ53" i="1"/>
  <c r="AJ52" i="1"/>
  <c r="AJ51" i="1"/>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AJ4" i="1"/>
  <c r="AJ3" i="1"/>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AK16" i="5" l="1"/>
  <c r="AF33" i="5"/>
  <c r="AF42" i="5"/>
  <c r="L41" i="22"/>
  <c r="K41" i="22"/>
  <c r="B3" i="9" l="1"/>
  <c r="K41" i="6" l="1"/>
  <c r="K34" i="6"/>
  <c r="B13" i="6"/>
  <c r="B20" i="6" s="1"/>
  <c r="B27" i="6" s="1"/>
  <c r="B34" i="6" s="1"/>
  <c r="B41" i="6" s="1"/>
  <c r="B12" i="6"/>
  <c r="B19" i="6" s="1"/>
  <c r="B26" i="6" s="1"/>
  <c r="B33" i="6" s="1"/>
  <c r="B40" i="6" s="1"/>
  <c r="B11" i="6"/>
  <c r="B18" i="6" s="1"/>
  <c r="B25" i="6" s="1"/>
  <c r="B32" i="6" s="1"/>
  <c r="B39" i="6" s="1"/>
  <c r="E7" i="6"/>
  <c r="B123" i="5"/>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7" i="1"/>
  <c r="I6" i="1"/>
  <c r="I5" i="1"/>
  <c r="I4" i="1"/>
  <c r="I3" i="1"/>
  <c r="I2" i="1"/>
  <c r="AQ20" i="34"/>
  <c r="AQ19" i="34"/>
  <c r="AQ18" i="34"/>
  <c r="AQ4" i="34"/>
  <c r="AP4" i="34"/>
  <c r="AO4" i="34"/>
  <c r="AN4" i="34"/>
  <c r="AB1" i="13" l="1"/>
  <c r="B108" i="5" l="1"/>
  <c r="B109" i="5"/>
  <c r="AT1" i="13"/>
  <c r="AN1" i="13"/>
  <c r="AH1" i="13"/>
  <c r="V1" i="13"/>
  <c r="P1" i="13"/>
  <c r="B2" i="25"/>
  <c r="J1" i="13"/>
  <c r="I1" i="13"/>
  <c r="C20" i="13"/>
  <c r="AS1" i="13" s="1"/>
  <c r="C19" i="13"/>
  <c r="AM1" i="13" s="1"/>
  <c r="C18" i="13"/>
  <c r="AG1" i="13" s="1"/>
  <c r="C17" i="13"/>
  <c r="AA1" i="13" s="1"/>
  <c r="C16" i="13"/>
  <c r="U1" i="13" s="1"/>
  <c r="C15" i="13"/>
  <c r="O1" i="13" s="1"/>
  <c r="C14" i="13"/>
  <c r="P47" i="7" l="1"/>
  <c r="L41" i="6" l="1"/>
  <c r="B149" i="1"/>
  <c r="B146" i="1"/>
  <c r="B143" i="1"/>
  <c r="B140" i="1"/>
  <c r="B137" i="1"/>
  <c r="B134" i="1"/>
  <c r="B131" i="1"/>
  <c r="B128" i="1"/>
  <c r="A128" i="5" s="1"/>
  <c r="B125" i="1"/>
  <c r="B122" i="1"/>
  <c r="B119" i="1"/>
  <c r="B116" i="1"/>
  <c r="B113" i="1"/>
  <c r="B110" i="1"/>
  <c r="B107" i="1"/>
  <c r="B104" i="1"/>
  <c r="B101" i="1"/>
  <c r="B98" i="1"/>
  <c r="B95" i="1"/>
  <c r="B92" i="1"/>
  <c r="B89" i="1"/>
  <c r="A89" i="5" s="1"/>
  <c r="B86" i="1"/>
  <c r="B83" i="1"/>
  <c r="B80" i="1"/>
  <c r="B77" i="1"/>
  <c r="B74" i="1"/>
  <c r="B71" i="1"/>
  <c r="B68" i="1"/>
  <c r="B65" i="1"/>
  <c r="B62" i="1"/>
  <c r="B59" i="1"/>
  <c r="B56" i="1"/>
  <c r="B53" i="1"/>
  <c r="B50" i="1"/>
  <c r="B47" i="1"/>
  <c r="B44" i="1"/>
  <c r="B41" i="1"/>
  <c r="B38" i="1"/>
  <c r="B35" i="1"/>
  <c r="B32" i="1"/>
  <c r="B29" i="1"/>
  <c r="B26" i="1"/>
  <c r="B23" i="1"/>
  <c r="B20" i="1"/>
  <c r="B14" i="1"/>
  <c r="B17" i="1"/>
  <c r="AC60" i="7" l="1"/>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B64" i="23"/>
  <c r="A64" i="23"/>
  <c r="D63" i="23"/>
  <c r="B63" i="23"/>
  <c r="A63" i="23"/>
  <c r="D62" i="23"/>
  <c r="B62" i="23"/>
  <c r="A62" i="23"/>
  <c r="D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C64" i="23" s="1"/>
  <c r="U63" i="7"/>
  <c r="C63" i="23" s="1"/>
  <c r="U62" i="7"/>
  <c r="C62" i="23" s="1"/>
  <c r="U61" i="7"/>
  <c r="C61" i="23" s="1"/>
  <c r="W56" i="7" l="1"/>
  <c r="V49" i="7"/>
  <c r="D49" i="23" s="1"/>
  <c r="W49" i="7"/>
  <c r="U49" i="7" s="1"/>
  <c r="C49" i="23" s="1"/>
  <c r="V59" i="7"/>
  <c r="D59" i="23" s="1"/>
  <c r="W50" i="7"/>
  <c r="W58" i="7"/>
  <c r="V52" i="7"/>
  <c r="D52" i="23" s="1"/>
  <c r="W51" i="7"/>
  <c r="U51" i="7" s="1"/>
  <c r="C51" i="23" s="1"/>
  <c r="W55" i="7"/>
  <c r="U55" i="7" s="1"/>
  <c r="C55" i="23" s="1"/>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V56" i="7"/>
  <c r="D56" i="23" s="1"/>
  <c r="V53" i="7"/>
  <c r="D53" i="23" s="1"/>
  <c r="V51" i="7"/>
  <c r="D51" i="23" s="1"/>
  <c r="V57" i="7"/>
  <c r="D57" i="23" s="1"/>
  <c r="V50" i="7"/>
  <c r="D50" i="23" s="1"/>
  <c r="W52" i="7"/>
  <c r="U52" i="7" s="1"/>
  <c r="C52" i="23" s="1"/>
  <c r="U54" i="7"/>
  <c r="C54" i="23" s="1"/>
  <c r="W59" i="7"/>
  <c r="U59" i="7" s="1"/>
  <c r="C59" i="23" s="1"/>
  <c r="U58" i="7"/>
  <c r="C58" i="23" s="1"/>
  <c r="U50" i="7"/>
  <c r="C50" i="23" s="1"/>
  <c r="U56" i="7"/>
  <c r="C56" i="23" s="1"/>
  <c r="AE2" i="25"/>
  <c r="I70" i="25" l="1"/>
  <c r="I71" i="25"/>
  <c r="H70" i="25"/>
  <c r="I72" i="25"/>
  <c r="S65" i="13"/>
  <c r="S63" i="13"/>
  <c r="L43" i="22"/>
  <c r="K43" i="22"/>
  <c r="L34" i="22"/>
  <c r="K34"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BV51" i="2"/>
  <c r="BW51" i="2"/>
  <c r="BX51" i="2"/>
  <c r="AK45" i="5"/>
  <c r="AK50" i="5"/>
  <c r="AK48" i="5"/>
  <c r="AF4" i="5"/>
  <c r="AF22" i="5"/>
  <c r="AF39" i="5"/>
  <c r="I58" i="1"/>
  <c r="I57" i="1"/>
  <c r="B3" i="6"/>
  <c r="BX54" i="2" l="1"/>
  <c r="K6" i="6"/>
  <c r="B2" i="5" l="1"/>
  <c r="B3" i="5"/>
  <c r="B4" i="5"/>
  <c r="B1" i="6"/>
  <c r="AF12" i="25"/>
  <c r="AF11" i="25"/>
  <c r="AF10" i="25"/>
  <c r="AF9" i="25"/>
  <c r="AF8" i="25"/>
  <c r="AF7" i="25"/>
  <c r="Q30" i="34"/>
  <c r="N30" i="34"/>
  <c r="M30" i="34"/>
  <c r="K30" i="34"/>
  <c r="S30" i="34"/>
  <c r="R30" i="34"/>
  <c r="P30" i="34"/>
  <c r="O30" i="34"/>
  <c r="B104" i="5" l="1"/>
  <c r="B105" i="5"/>
  <c r="B106" i="5"/>
  <c r="AD10" i="13" l="1"/>
  <c r="B111" i="5"/>
  <c r="B112"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D3" i="34"/>
  <c r="AB247" i="5" l="1"/>
  <c r="AB246" i="5"/>
  <c r="AB245" i="5"/>
  <c r="AB244" i="5"/>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AB181" i="5"/>
  <c r="AB180" i="5"/>
  <c r="AB179" i="5"/>
  <c r="AB178" i="5"/>
  <c r="AB177" i="5"/>
  <c r="AB176" i="5"/>
  <c r="AB175" i="5"/>
  <c r="AB174" i="5"/>
  <c r="AB173" i="5"/>
  <c r="AB172" i="5"/>
  <c r="AB171" i="5"/>
  <c r="AB170" i="5"/>
  <c r="AB169" i="5"/>
  <c r="AB168" i="5"/>
  <c r="AB167" i="5"/>
  <c r="AB166" i="5"/>
  <c r="AB165" i="5"/>
  <c r="AB164" i="5"/>
  <c r="AB163" i="5"/>
  <c r="AB162" i="5"/>
  <c r="AB161" i="5"/>
  <c r="AB160" i="5"/>
  <c r="AB159" i="5"/>
  <c r="AB158" i="5"/>
  <c r="AB157" i="5"/>
  <c r="AB156" i="5"/>
  <c r="AB155" i="5"/>
  <c r="AB154" i="5"/>
  <c r="AB153" i="5"/>
  <c r="AB152" i="5"/>
  <c r="B5" i="5" l="1"/>
  <c r="B6" i="5"/>
  <c r="B7" i="5"/>
  <c r="S19" i="34" l="1"/>
  <c r="A1" i="22" l="1"/>
  <c r="S20" i="34" l="1"/>
  <c r="B35" i="5" l="1"/>
  <c r="K27" i="6" l="1"/>
  <c r="K20" i="6"/>
  <c r="K13"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I1" i="48"/>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AP10" i="13"/>
  <c r="M72" i="13"/>
  <c r="L72" i="13"/>
  <c r="M71" i="13"/>
  <c r="AP8" i="13"/>
  <c r="M70" i="13"/>
  <c r="L70" i="13"/>
  <c r="M69" i="13"/>
  <c r="M68" i="13"/>
  <c r="L68" i="13"/>
  <c r="M67" i="13"/>
  <c r="AP4" i="13"/>
  <c r="AG5" i="25" s="1"/>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Q33" i="25" s="1"/>
  <c r="V32" i="13"/>
  <c r="O33" i="25" s="1"/>
  <c r="R32" i="13"/>
  <c r="L32" i="13"/>
  <c r="V31" i="13"/>
  <c r="X30" i="13"/>
  <c r="Q31" i="25" s="1"/>
  <c r="V30" i="13"/>
  <c r="O31" i="25" s="1"/>
  <c r="R30" i="13"/>
  <c r="K31" i="25" s="1"/>
  <c r="L30" i="13"/>
  <c r="V29" i="13"/>
  <c r="O30" i="25" s="1"/>
  <c r="AD28" i="13"/>
  <c r="X28" i="13"/>
  <c r="Q29" i="25" s="1"/>
  <c r="V28" i="13"/>
  <c r="R28" i="13"/>
  <c r="K29" i="25" s="1"/>
  <c r="L28" i="13"/>
  <c r="V27" i="13"/>
  <c r="O28" i="25" s="1"/>
  <c r="AD26" i="13"/>
  <c r="X26" i="13"/>
  <c r="Q27" i="25" s="1"/>
  <c r="V26" i="13"/>
  <c r="R26" i="13"/>
  <c r="K27" i="25" s="1"/>
  <c r="L26" i="13"/>
  <c r="V25" i="13"/>
  <c r="O26" i="25" s="1"/>
  <c r="X24" i="13"/>
  <c r="Q25" i="25" s="1"/>
  <c r="V24" i="13"/>
  <c r="O25" i="25" s="1"/>
  <c r="R24" i="13"/>
  <c r="K25" i="25" s="1"/>
  <c r="L24" i="13"/>
  <c r="V23" i="13"/>
  <c r="O24" i="25" s="1"/>
  <c r="X22" i="13"/>
  <c r="Q23" i="25" s="1"/>
  <c r="V22" i="13"/>
  <c r="R22" i="13"/>
  <c r="L22" i="13"/>
  <c r="V21" i="13"/>
  <c r="O22" i="25" s="1"/>
  <c r="X20" i="13"/>
  <c r="Q21" i="25" s="1"/>
  <c r="V20" i="13"/>
  <c r="O21" i="25" s="1"/>
  <c r="R20" i="13"/>
  <c r="K21" i="25" s="1"/>
  <c r="L20" i="13"/>
  <c r="AJ2" i="25"/>
  <c r="V19" i="13"/>
  <c r="O20" i="25" s="1"/>
  <c r="X18" i="13"/>
  <c r="Q19" i="25" s="1"/>
  <c r="V18" i="13"/>
  <c r="O19" i="25" s="1"/>
  <c r="R18" i="13"/>
  <c r="K19" i="25" s="1"/>
  <c r="L18" i="13"/>
  <c r="Z2" i="25"/>
  <c r="V17" i="13"/>
  <c r="O18" i="25" s="1"/>
  <c r="U2" i="25"/>
  <c r="AD16" i="13"/>
  <c r="W17" i="25" s="1"/>
  <c r="X16" i="13"/>
  <c r="Q17" i="25" s="1"/>
  <c r="V16" i="13"/>
  <c r="O17" i="25" s="1"/>
  <c r="R16" i="13"/>
  <c r="K17" i="25" s="1"/>
  <c r="L16" i="13"/>
  <c r="O2" i="25"/>
  <c r="V15" i="13"/>
  <c r="O16" i="25" s="1"/>
  <c r="I2" i="25"/>
  <c r="AD14" i="13"/>
  <c r="W15" i="25" s="1"/>
  <c r="X14" i="13"/>
  <c r="Q15" i="25" s="1"/>
  <c r="V14" i="13"/>
  <c r="R14" i="13"/>
  <c r="K15" i="25" s="1"/>
  <c r="L14" i="13"/>
  <c r="V13" i="13"/>
  <c r="O14" i="25" s="1"/>
  <c r="AD12" i="13"/>
  <c r="W13" i="25" s="1"/>
  <c r="X12" i="13"/>
  <c r="Q13" i="25" s="1"/>
  <c r="V12" i="13"/>
  <c r="R12" i="13"/>
  <c r="K13" i="25" s="1"/>
  <c r="L12" i="13"/>
  <c r="V11" i="13"/>
  <c r="O12" i="25" s="1"/>
  <c r="X10" i="13"/>
  <c r="Q11" i="25" s="1"/>
  <c r="V10" i="13"/>
  <c r="O11" i="25" s="1"/>
  <c r="R10" i="13"/>
  <c r="K11" i="25" s="1"/>
  <c r="L10" i="13"/>
  <c r="V9" i="13"/>
  <c r="O10" i="25" s="1"/>
  <c r="AD8" i="13"/>
  <c r="W9" i="25" s="1"/>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Q3" i="25" s="1"/>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53" i="1"/>
  <c r="I152" i="1"/>
  <c r="I148" i="1"/>
  <c r="I147" i="1"/>
  <c r="I146" i="1"/>
  <c r="I145" i="1"/>
  <c r="I144" i="1"/>
  <c r="I143" i="1"/>
  <c r="I142" i="1"/>
  <c r="I141" i="1"/>
  <c r="I140" i="1"/>
  <c r="I139" i="1"/>
  <c r="I138" i="1"/>
  <c r="I137" i="1"/>
  <c r="I136" i="1"/>
  <c r="I135" i="1"/>
  <c r="I134" i="1"/>
  <c r="A149" i="5"/>
  <c r="A149" i="24" s="1"/>
  <c r="I133" i="1"/>
  <c r="I132" i="1"/>
  <c r="I131" i="1"/>
  <c r="A146" i="5"/>
  <c r="A146" i="24" s="1"/>
  <c r="I130" i="1"/>
  <c r="I129" i="1"/>
  <c r="I128" i="1"/>
  <c r="A143" i="5"/>
  <c r="I127" i="1"/>
  <c r="I126" i="1"/>
  <c r="I125" i="1"/>
  <c r="A140" i="5"/>
  <c r="A141" i="5" s="1"/>
  <c r="I124" i="1"/>
  <c r="I123" i="1"/>
  <c r="I122" i="1"/>
  <c r="A137" i="5"/>
  <c r="A139" i="5" s="1"/>
  <c r="I121" i="1"/>
  <c r="I120" i="1"/>
  <c r="I119" i="1"/>
  <c r="A134" i="5"/>
  <c r="A136" i="5" s="1"/>
  <c r="I118" i="1"/>
  <c r="I117" i="1"/>
  <c r="I116" i="1"/>
  <c r="A131" i="5"/>
  <c r="A133" i="5" s="1"/>
  <c r="I115" i="1"/>
  <c r="I114" i="1"/>
  <c r="I113" i="1"/>
  <c r="A130" i="5"/>
  <c r="I112" i="1"/>
  <c r="I111" i="1"/>
  <c r="I110" i="1"/>
  <c r="A125" i="5"/>
  <c r="A127" i="5" s="1"/>
  <c r="I109" i="1"/>
  <c r="I108" i="1"/>
  <c r="I107" i="1"/>
  <c r="A122" i="5"/>
  <c r="A124" i="5" s="1"/>
  <c r="I106" i="1"/>
  <c r="I105" i="1"/>
  <c r="I104" i="1"/>
  <c r="A119" i="5"/>
  <c r="A121" i="5" s="1"/>
  <c r="I103" i="1"/>
  <c r="I102" i="1"/>
  <c r="I101" i="1"/>
  <c r="A116" i="5"/>
  <c r="I100" i="1"/>
  <c r="I99" i="1"/>
  <c r="I98" i="1"/>
  <c r="A113" i="5"/>
  <c r="A115" i="5" s="1"/>
  <c r="I97" i="1"/>
  <c r="I96" i="1"/>
  <c r="I95" i="1"/>
  <c r="A110" i="5"/>
  <c r="I94" i="1"/>
  <c r="I93" i="1"/>
  <c r="I92" i="1"/>
  <c r="A107" i="5"/>
  <c r="I91" i="1"/>
  <c r="I90" i="1"/>
  <c r="I89" i="1"/>
  <c r="A104" i="5"/>
  <c r="I88" i="1"/>
  <c r="I87" i="1"/>
  <c r="I86" i="1"/>
  <c r="A101" i="5"/>
  <c r="A103" i="5" s="1"/>
  <c r="I85" i="1"/>
  <c r="I84" i="1"/>
  <c r="I83" i="1"/>
  <c r="A98" i="5"/>
  <c r="A100" i="5" s="1"/>
  <c r="I82" i="1"/>
  <c r="I81" i="1"/>
  <c r="I80" i="1"/>
  <c r="A95" i="5"/>
  <c r="A97" i="5" s="1"/>
  <c r="I79" i="1"/>
  <c r="I78" i="1"/>
  <c r="I77" i="1"/>
  <c r="A92" i="5"/>
  <c r="A94" i="5" s="1"/>
  <c r="I76" i="1"/>
  <c r="I75" i="1"/>
  <c r="I74" i="1"/>
  <c r="A91" i="5"/>
  <c r="I73" i="1"/>
  <c r="I72" i="1"/>
  <c r="I71" i="1"/>
  <c r="A86" i="5"/>
  <c r="A88" i="5" s="1"/>
  <c r="I70" i="1"/>
  <c r="I69" i="1"/>
  <c r="I68" i="1"/>
  <c r="A83" i="5"/>
  <c r="A85" i="5" s="1"/>
  <c r="I67" i="1"/>
  <c r="I66" i="1"/>
  <c r="I65" i="1"/>
  <c r="A80" i="5"/>
  <c r="A82" i="5" s="1"/>
  <c r="I64" i="1"/>
  <c r="I63" i="1"/>
  <c r="I62" i="1"/>
  <c r="A77" i="5"/>
  <c r="A79" i="5" s="1"/>
  <c r="I61" i="1"/>
  <c r="I60" i="1"/>
  <c r="I59" i="1"/>
  <c r="A74" i="5"/>
  <c r="A76" i="5" s="1"/>
  <c r="A71" i="5"/>
  <c r="A73" i="5" s="1"/>
  <c r="A68" i="5"/>
  <c r="A70" i="5" s="1"/>
  <c r="A65" i="5"/>
  <c r="A65" i="24" s="1"/>
  <c r="A62" i="5"/>
  <c r="A64" i="5" s="1"/>
  <c r="A59" i="5"/>
  <c r="A56" i="5"/>
  <c r="A53" i="5"/>
  <c r="A53" i="24" s="1"/>
  <c r="A50" i="5"/>
  <c r="A50" i="24" s="1"/>
  <c r="A47" i="5"/>
  <c r="A47" i="24" s="1"/>
  <c r="A44" i="5"/>
  <c r="A45" i="5" s="1"/>
  <c r="A41" i="5"/>
  <c r="A38" i="5"/>
  <c r="A38" i="24" s="1"/>
  <c r="C35" i="1"/>
  <c r="A35" i="5"/>
  <c r="A37" i="5" s="1"/>
  <c r="A32" i="5"/>
  <c r="A29" i="5"/>
  <c r="A26" i="5"/>
  <c r="A23" i="5"/>
  <c r="A23" i="24" s="1"/>
  <c r="A20" i="5"/>
  <c r="A17" i="5"/>
  <c r="A18" i="5" s="1"/>
  <c r="A14" i="5"/>
  <c r="A14" i="24" s="1"/>
  <c r="B11" i="1"/>
  <c r="A11" i="5" s="1"/>
  <c r="A11" i="24" s="1"/>
  <c r="B8" i="1"/>
  <c r="A8" i="5" s="1"/>
  <c r="A10" i="5" s="1"/>
  <c r="B5" i="1"/>
  <c r="A5" i="5" s="1"/>
  <c r="AJ2" i="1"/>
  <c r="B2" i="1"/>
  <c r="A2" i="5" s="1"/>
  <c r="B151" i="5"/>
  <c r="C151" i="1" s="1"/>
  <c r="B150" i="5"/>
  <c r="C150" i="1" s="1"/>
  <c r="B149" i="5"/>
  <c r="C149" i="1"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C133" i="1"/>
  <c r="B132" i="5"/>
  <c r="C132" i="1" s="1"/>
  <c r="B131" i="5"/>
  <c r="C131" i="1" s="1"/>
  <c r="B130" i="5"/>
  <c r="C130" i="1" s="1"/>
  <c r="B129" i="5"/>
  <c r="C129" i="1" s="1"/>
  <c r="B128" i="5"/>
  <c r="C128" i="1" s="1"/>
  <c r="B127" i="5"/>
  <c r="C127" i="1" s="1"/>
  <c r="B126" i="5"/>
  <c r="C126" i="1" s="1"/>
  <c r="B125" i="5"/>
  <c r="C125" i="1" s="1"/>
  <c r="B124" i="5"/>
  <c r="C124" i="1" s="1"/>
  <c r="C123" i="1"/>
  <c r="B122" i="5"/>
  <c r="C122" i="1" s="1"/>
  <c r="B121" i="5"/>
  <c r="C121" i="1" s="1"/>
  <c r="B120" i="5"/>
  <c r="C120" i="1" s="1"/>
  <c r="B119" i="5"/>
  <c r="C119" i="1" s="1"/>
  <c r="B118" i="5"/>
  <c r="C118" i="1" s="1"/>
  <c r="B117" i="5"/>
  <c r="C117" i="1" s="1"/>
  <c r="B116" i="5"/>
  <c r="C116" i="1" s="1"/>
  <c r="B115" i="5"/>
  <c r="C115" i="1" s="1"/>
  <c r="B114" i="5"/>
  <c r="C114" i="1" s="1"/>
  <c r="B113" i="5"/>
  <c r="C113" i="1" s="1"/>
  <c r="C112" i="1"/>
  <c r="C111" i="1"/>
  <c r="B110" i="5"/>
  <c r="C110" i="1" s="1"/>
  <c r="C109" i="1"/>
  <c r="C108" i="1"/>
  <c r="B107" i="5"/>
  <c r="C107" i="1" s="1"/>
  <c r="C106" i="1"/>
  <c r="C105" i="1"/>
  <c r="C104" i="1"/>
  <c r="B103" i="5"/>
  <c r="C103" i="1" s="1"/>
  <c r="B102" i="5"/>
  <c r="C102" i="1" s="1"/>
  <c r="B101" i="5"/>
  <c r="C101" i="1" s="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F12" i="5"/>
  <c r="B65" i="5"/>
  <c r="C65" i="1" s="1"/>
  <c r="B64" i="5"/>
  <c r="C64" i="1" s="1"/>
  <c r="AK35" i="5"/>
  <c r="B63" i="5"/>
  <c r="C63" i="1" s="1"/>
  <c r="AK14" i="5"/>
  <c r="AF14" i="5"/>
  <c r="B62" i="5"/>
  <c r="C62" i="1" s="1"/>
  <c r="AF35" i="5"/>
  <c r="B61" i="5"/>
  <c r="C61" i="1" s="1"/>
  <c r="AF28" i="5"/>
  <c r="B60" i="5"/>
  <c r="C60" i="1" s="1"/>
  <c r="AK40" i="5"/>
  <c r="AF23" i="5"/>
  <c r="B59" i="5"/>
  <c r="C59" i="1" s="1"/>
  <c r="AK34" i="5"/>
  <c r="B58" i="5"/>
  <c r="C58" i="1" s="1"/>
  <c r="AK23" i="5"/>
  <c r="B57" i="5"/>
  <c r="C57" i="1" s="1"/>
  <c r="B56" i="5"/>
  <c r="C56" i="1" s="1"/>
  <c r="AF29" i="5"/>
  <c r="B55" i="5"/>
  <c r="C55" i="1" s="1"/>
  <c r="AK4" i="5"/>
  <c r="B54" i="5"/>
  <c r="C54" i="1" s="1"/>
  <c r="AK10" i="5"/>
  <c r="B53" i="5"/>
  <c r="C53" i="1" s="1"/>
  <c r="AK2" i="5"/>
  <c r="AF27" i="5"/>
  <c r="B52" i="5"/>
  <c r="C52" i="1" s="1"/>
  <c r="AF30" i="5"/>
  <c r="B51" i="5"/>
  <c r="C51" i="1" s="1"/>
  <c r="AK9" i="5"/>
  <c r="B50" i="5"/>
  <c r="C50" i="1" s="1"/>
  <c r="AF6" i="5"/>
  <c r="B49" i="5"/>
  <c r="C49" i="1" s="1"/>
  <c r="AK39" i="5"/>
  <c r="AF50" i="5"/>
  <c r="B48" i="5"/>
  <c r="C48" i="1" s="1"/>
  <c r="AF46" i="5"/>
  <c r="B47" i="5"/>
  <c r="C47" i="1" s="1"/>
  <c r="AK41" i="5"/>
  <c r="AF21" i="5"/>
  <c r="B46" i="5"/>
  <c r="C46" i="1" s="1"/>
  <c r="AK17" i="5"/>
  <c r="AF48" i="5"/>
  <c r="B45" i="5"/>
  <c r="C45" i="1" s="1"/>
  <c r="AK29" i="5"/>
  <c r="AF26" i="5"/>
  <c r="B44" i="5"/>
  <c r="C44" i="1" s="1"/>
  <c r="AK13" i="5"/>
  <c r="B43" i="5"/>
  <c r="C43" i="1" s="1"/>
  <c r="AK21" i="5"/>
  <c r="AF10" i="5"/>
  <c r="B42" i="5"/>
  <c r="C42" i="1" s="1"/>
  <c r="AF11" i="5"/>
  <c r="B41" i="5"/>
  <c r="C41" i="1" s="1"/>
  <c r="AK49" i="5"/>
  <c r="C40" i="1"/>
  <c r="AK43" i="5"/>
  <c r="AF20" i="5"/>
  <c r="C39" i="1"/>
  <c r="AK11" i="5"/>
  <c r="AF31" i="5"/>
  <c r="C38" i="1"/>
  <c r="AK12" i="5"/>
  <c r="C37" i="1"/>
  <c r="AF25" i="5"/>
  <c r="B36" i="5"/>
  <c r="C36" i="1" s="1"/>
  <c r="AK6" i="5"/>
  <c r="AF17" i="5"/>
  <c r="AK44" i="5"/>
  <c r="AF16" i="5"/>
  <c r="B34" i="5"/>
  <c r="C34" i="1" s="1"/>
  <c r="AK18" i="5"/>
  <c r="AF51" i="5"/>
  <c r="B33" i="5"/>
  <c r="C33" i="1" s="1"/>
  <c r="AK7" i="5"/>
  <c r="AF9" i="5"/>
  <c r="B32" i="5"/>
  <c r="C32" i="1" s="1"/>
  <c r="AK19" i="5"/>
  <c r="AF36" i="5"/>
  <c r="B31" i="5"/>
  <c r="C31" i="1" s="1"/>
  <c r="B30" i="5"/>
  <c r="C30" i="1" s="1"/>
  <c r="AK51" i="5"/>
  <c r="AF41" i="5"/>
  <c r="B29" i="5"/>
  <c r="C29" i="1" s="1"/>
  <c r="B28" i="5"/>
  <c r="C28" i="1" s="1"/>
  <c r="AK42" i="5"/>
  <c r="AF18" i="5"/>
  <c r="B27" i="5"/>
  <c r="C27" i="1" s="1"/>
  <c r="AK37" i="5"/>
  <c r="B26" i="5"/>
  <c r="C26" i="1" s="1"/>
  <c r="AK24" i="5"/>
  <c r="AF44" i="5"/>
  <c r="B25" i="5"/>
  <c r="C25" i="1" s="1"/>
  <c r="AF3" i="5"/>
  <c r="B24" i="5"/>
  <c r="C24" i="1" s="1"/>
  <c r="AK25" i="5"/>
  <c r="B23" i="5"/>
  <c r="C23" i="1" s="1"/>
  <c r="AK15" i="5"/>
  <c r="B22" i="5"/>
  <c r="C22" i="1" s="1"/>
  <c r="AF24" i="5"/>
  <c r="B21" i="5"/>
  <c r="C21" i="1" s="1"/>
  <c r="AK36" i="5"/>
  <c r="AF7" i="5"/>
  <c r="B20" i="5"/>
  <c r="C20" i="1" s="1"/>
  <c r="AK32" i="5"/>
  <c r="AF8" i="5"/>
  <c r="B19" i="5"/>
  <c r="C19" i="1" s="1"/>
  <c r="AK38" i="5"/>
  <c r="B18" i="5"/>
  <c r="C18" i="1" s="1"/>
  <c r="AK8" i="5"/>
  <c r="AF15" i="5"/>
  <c r="B17" i="5"/>
  <c r="C17" i="1" s="1"/>
  <c r="AF13" i="5"/>
  <c r="B16" i="5"/>
  <c r="C16" i="1" s="1"/>
  <c r="AF47" i="5"/>
  <c r="B15" i="5"/>
  <c r="C15" i="1" s="1"/>
  <c r="AF37" i="5"/>
  <c r="B14" i="5"/>
  <c r="C14" i="1" s="1"/>
  <c r="AK30" i="5"/>
  <c r="AF34" i="5"/>
  <c r="B13" i="5"/>
  <c r="C13" i="1" s="1"/>
  <c r="AK20" i="5"/>
  <c r="AF2" i="5"/>
  <c r="C12" i="1"/>
  <c r="AK26" i="5"/>
  <c r="AF40" i="5"/>
  <c r="C11" i="1"/>
  <c r="AK5" i="5"/>
  <c r="AF45" i="5"/>
  <c r="B10" i="5"/>
  <c r="C10" i="1" s="1"/>
  <c r="AK33" i="5"/>
  <c r="AF19" i="5"/>
  <c r="B9" i="5"/>
  <c r="C9" i="1" s="1"/>
  <c r="AK27" i="5"/>
  <c r="B8" i="5"/>
  <c r="AK47" i="5"/>
  <c r="AF32" i="5"/>
  <c r="C7" i="1"/>
  <c r="AK28" i="5"/>
  <c r="C6" i="1"/>
  <c r="AK22" i="5"/>
  <c r="AF5" i="5"/>
  <c r="C5" i="1"/>
  <c r="AK3" i="5"/>
  <c r="AF49" i="5"/>
  <c r="C4" i="1"/>
  <c r="AK31" i="5"/>
  <c r="AF38" i="5"/>
  <c r="C3" i="1"/>
  <c r="AK46" i="5"/>
  <c r="AF43"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G151" i="24"/>
  <c r="F151" i="24"/>
  <c r="G150" i="24"/>
  <c r="F150" i="24"/>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AD8" i="25"/>
  <c r="K70" i="25"/>
  <c r="J70" i="25"/>
  <c r="E70" i="25"/>
  <c r="D70" i="25"/>
  <c r="C70" i="25"/>
  <c r="H69" i="25"/>
  <c r="E69" i="25"/>
  <c r="D69" i="25"/>
  <c r="C69" i="25"/>
  <c r="B69" i="25"/>
  <c r="E68" i="25"/>
  <c r="D68" i="25"/>
  <c r="C68"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Y13" i="25"/>
  <c r="K50" i="25"/>
  <c r="J50" i="25"/>
  <c r="I50" i="25"/>
  <c r="E50" i="25"/>
  <c r="D50" i="25"/>
  <c r="C50" i="25"/>
  <c r="J49" i="25"/>
  <c r="I49" i="25"/>
  <c r="H49" i="25"/>
  <c r="E49" i="25"/>
  <c r="D49" i="25"/>
  <c r="C49" i="25"/>
  <c r="B49" i="25"/>
  <c r="Q48" i="25"/>
  <c r="P48" i="25"/>
  <c r="O48" i="25"/>
  <c r="K48" i="25"/>
  <c r="J48" i="25"/>
  <c r="I48" i="25"/>
  <c r="E48" i="25"/>
  <c r="D48" i="25"/>
  <c r="C48" i="25"/>
  <c r="AB10" i="25"/>
  <c r="Q47" i="25"/>
  <c r="P47" i="25"/>
  <c r="O47" i="25"/>
  <c r="J47" i="25"/>
  <c r="I47" i="25"/>
  <c r="H47" i="25"/>
  <c r="E47" i="25"/>
  <c r="D47" i="25"/>
  <c r="C47" i="25"/>
  <c r="B47" i="25"/>
  <c r="Y9" i="25"/>
  <c r="Q46" i="25"/>
  <c r="P46" i="25"/>
  <c r="O46" i="25"/>
  <c r="K46" i="25"/>
  <c r="J46" i="25"/>
  <c r="I46" i="25"/>
  <c r="E46" i="25"/>
  <c r="D46" i="25"/>
  <c r="C46" i="25"/>
  <c r="AB8" i="25"/>
  <c r="Q45" i="25"/>
  <c r="P45" i="25"/>
  <c r="O45" i="25"/>
  <c r="J45" i="25"/>
  <c r="I45" i="25"/>
  <c r="H45" i="25"/>
  <c r="E45" i="25"/>
  <c r="D45" i="25"/>
  <c r="C45" i="25"/>
  <c r="B45" i="25"/>
  <c r="Y7" i="25"/>
  <c r="Q44" i="25"/>
  <c r="P44" i="25"/>
  <c r="O44" i="25"/>
  <c r="K44" i="25"/>
  <c r="J44" i="25"/>
  <c r="I44" i="25"/>
  <c r="E44" i="25"/>
  <c r="D44" i="25"/>
  <c r="C44" i="25"/>
  <c r="AB6" i="25"/>
  <c r="Q43" i="25"/>
  <c r="P43" i="25"/>
  <c r="O43" i="25"/>
  <c r="J43" i="25"/>
  <c r="I43" i="25"/>
  <c r="H43" i="25"/>
  <c r="E43" i="25"/>
  <c r="D43" i="25"/>
  <c r="C43" i="25"/>
  <c r="B43" i="25"/>
  <c r="Y5" i="25"/>
  <c r="Q42" i="25"/>
  <c r="P42" i="25"/>
  <c r="O42" i="25"/>
  <c r="K42" i="25"/>
  <c r="J42" i="25"/>
  <c r="I42" i="25"/>
  <c r="E42" i="25"/>
  <c r="D42" i="25"/>
  <c r="C42" i="25"/>
  <c r="AB4" i="25"/>
  <c r="Q41" i="25"/>
  <c r="P41" i="25"/>
  <c r="O41" i="25"/>
  <c r="J41" i="25"/>
  <c r="I41" i="25"/>
  <c r="H41" i="25"/>
  <c r="E41" i="25"/>
  <c r="D41" i="25"/>
  <c r="C41" i="25"/>
  <c r="B41" i="25"/>
  <c r="Y3" i="25"/>
  <c r="Q40" i="25"/>
  <c r="K40" i="25"/>
  <c r="J40" i="25"/>
  <c r="I40" i="25"/>
  <c r="E40" i="25"/>
  <c r="D40" i="25"/>
  <c r="C40" i="25"/>
  <c r="Y2" i="25"/>
  <c r="Q39" i="25"/>
  <c r="J39" i="25"/>
  <c r="I39" i="25"/>
  <c r="H39" i="25"/>
  <c r="E39" i="25"/>
  <c r="D39" i="25"/>
  <c r="C39" i="25"/>
  <c r="B39" i="25"/>
  <c r="Q38" i="25"/>
  <c r="N38" i="25"/>
  <c r="K38" i="25"/>
  <c r="J38" i="25"/>
  <c r="I38" i="25"/>
  <c r="E38" i="25"/>
  <c r="D38" i="25"/>
  <c r="C38" i="25"/>
  <c r="Q37" i="25"/>
  <c r="J37" i="25"/>
  <c r="I37" i="25"/>
  <c r="H37" i="25"/>
  <c r="E37" i="25"/>
  <c r="D37" i="25"/>
  <c r="C37" i="25"/>
  <c r="B37" i="25"/>
  <c r="Q36" i="25"/>
  <c r="K36" i="25"/>
  <c r="J36" i="25"/>
  <c r="I36" i="25"/>
  <c r="E36" i="25"/>
  <c r="D36" i="25"/>
  <c r="C36" i="25"/>
  <c r="Q35" i="25"/>
  <c r="J35" i="25"/>
  <c r="I35" i="25"/>
  <c r="H35" i="25"/>
  <c r="E35" i="25"/>
  <c r="D35" i="25"/>
  <c r="C35" i="25"/>
  <c r="B35" i="25"/>
  <c r="K34" i="25"/>
  <c r="J34" i="25"/>
  <c r="I34" i="25"/>
  <c r="E34" i="25"/>
  <c r="D34" i="25"/>
  <c r="C34" i="25"/>
  <c r="N33" i="25"/>
  <c r="K33" i="25"/>
  <c r="J33" i="25"/>
  <c r="I33" i="25"/>
  <c r="H33" i="25"/>
  <c r="E33" i="25"/>
  <c r="D33" i="25"/>
  <c r="C33" i="25"/>
  <c r="B33" i="25"/>
  <c r="K32" i="25"/>
  <c r="J32" i="25"/>
  <c r="I32" i="25"/>
  <c r="E32" i="25"/>
  <c r="D32" i="25"/>
  <c r="C32" i="25"/>
  <c r="N31" i="25"/>
  <c r="J31" i="25"/>
  <c r="I31" i="25"/>
  <c r="H31" i="25"/>
  <c r="E31" i="25"/>
  <c r="D31" i="25"/>
  <c r="C31" i="25"/>
  <c r="B31" i="25"/>
  <c r="V30" i="25"/>
  <c r="U30" i="25"/>
  <c r="K30" i="25"/>
  <c r="J30" i="25"/>
  <c r="I30" i="25"/>
  <c r="E30" i="25"/>
  <c r="D30" i="25"/>
  <c r="C30" i="25"/>
  <c r="W29" i="25"/>
  <c r="V29" i="25"/>
  <c r="U29" i="25"/>
  <c r="N29" i="25"/>
  <c r="J29" i="25"/>
  <c r="I29" i="25"/>
  <c r="H29" i="25"/>
  <c r="E29" i="25"/>
  <c r="D29" i="25"/>
  <c r="C29" i="25"/>
  <c r="B29" i="25"/>
  <c r="V28" i="25"/>
  <c r="U28" i="25"/>
  <c r="K28" i="25"/>
  <c r="J28" i="25"/>
  <c r="I28" i="25"/>
  <c r="E28" i="25"/>
  <c r="D28" i="25"/>
  <c r="C28" i="25"/>
  <c r="W27" i="25"/>
  <c r="V27" i="25"/>
  <c r="U27" i="25"/>
  <c r="N27" i="25"/>
  <c r="J27" i="25"/>
  <c r="I27" i="25"/>
  <c r="H27" i="25"/>
  <c r="E27" i="25"/>
  <c r="D27" i="25"/>
  <c r="C27" i="25"/>
  <c r="B27" i="25"/>
  <c r="V26" i="25"/>
  <c r="U26" i="25"/>
  <c r="K26" i="25"/>
  <c r="J26" i="25"/>
  <c r="I26" i="25"/>
  <c r="E26" i="25"/>
  <c r="D26" i="25"/>
  <c r="C26" i="25"/>
  <c r="V25" i="25"/>
  <c r="U25" i="25"/>
  <c r="N25" i="25"/>
  <c r="J25" i="25"/>
  <c r="I25" i="25"/>
  <c r="H25" i="25"/>
  <c r="E25" i="25"/>
  <c r="D25" i="25"/>
  <c r="C25" i="25"/>
  <c r="B25" i="25"/>
  <c r="K24" i="25"/>
  <c r="J24" i="25"/>
  <c r="I24" i="25"/>
  <c r="E24" i="25"/>
  <c r="D24" i="25"/>
  <c r="C24" i="25"/>
  <c r="N23" i="25"/>
  <c r="K23" i="25"/>
  <c r="J23" i="25"/>
  <c r="I23" i="25"/>
  <c r="H23" i="25"/>
  <c r="E23" i="25"/>
  <c r="D23" i="25"/>
  <c r="C23" i="25"/>
  <c r="B23" i="25"/>
  <c r="T22" i="25"/>
  <c r="K22" i="25"/>
  <c r="J22" i="25"/>
  <c r="I22" i="25"/>
  <c r="E22" i="25"/>
  <c r="D22" i="25"/>
  <c r="C22" i="25"/>
  <c r="N21" i="25"/>
  <c r="J21" i="25"/>
  <c r="I21" i="25"/>
  <c r="H21" i="25"/>
  <c r="E21" i="25"/>
  <c r="D21" i="25"/>
  <c r="C21" i="25"/>
  <c r="B21" i="25"/>
  <c r="K20" i="25"/>
  <c r="J20" i="25"/>
  <c r="I20" i="25"/>
  <c r="E20" i="25"/>
  <c r="D20" i="25"/>
  <c r="C20" i="25"/>
  <c r="N19" i="25"/>
  <c r="J19" i="25"/>
  <c r="I19" i="25"/>
  <c r="H19" i="25"/>
  <c r="E19" i="25"/>
  <c r="D19" i="25"/>
  <c r="C19" i="25"/>
  <c r="B19" i="25"/>
  <c r="V18" i="25"/>
  <c r="K18" i="25"/>
  <c r="J18" i="25"/>
  <c r="I18" i="25"/>
  <c r="E18" i="25"/>
  <c r="D18" i="25"/>
  <c r="C18" i="25"/>
  <c r="V17" i="25"/>
  <c r="T17" i="25"/>
  <c r="N17" i="25"/>
  <c r="J17" i="25"/>
  <c r="I17" i="25"/>
  <c r="H17" i="25"/>
  <c r="E17" i="25"/>
  <c r="D17" i="25"/>
  <c r="C17" i="25"/>
  <c r="B17" i="25"/>
  <c r="V16" i="25"/>
  <c r="K16" i="25"/>
  <c r="J16" i="25"/>
  <c r="I16" i="25"/>
  <c r="E16" i="25"/>
  <c r="D16" i="25"/>
  <c r="C16" i="25"/>
  <c r="V15" i="25"/>
  <c r="T15" i="25"/>
  <c r="N15" i="25"/>
  <c r="J15" i="25"/>
  <c r="I15" i="25"/>
  <c r="H15" i="25"/>
  <c r="E15" i="25"/>
  <c r="D15" i="25"/>
  <c r="C15" i="25"/>
  <c r="B15" i="25"/>
  <c r="V14" i="25"/>
  <c r="K14" i="25"/>
  <c r="J14" i="25"/>
  <c r="I14" i="25"/>
  <c r="E14" i="25"/>
  <c r="D14" i="25"/>
  <c r="C14" i="25"/>
  <c r="V13" i="25"/>
  <c r="T13" i="25"/>
  <c r="O13" i="25"/>
  <c r="N13" i="25"/>
  <c r="J13" i="25"/>
  <c r="I13" i="25"/>
  <c r="H13" i="25"/>
  <c r="E13" i="25"/>
  <c r="D13" i="25"/>
  <c r="C13" i="25"/>
  <c r="B13" i="25"/>
  <c r="V12" i="25"/>
  <c r="K12" i="25"/>
  <c r="J12" i="25"/>
  <c r="I12" i="25"/>
  <c r="E12" i="25"/>
  <c r="D12" i="25"/>
  <c r="C12" i="25"/>
  <c r="W11" i="25"/>
  <c r="V11" i="25"/>
  <c r="T11" i="25"/>
  <c r="N11" i="25"/>
  <c r="J11" i="25"/>
  <c r="I11" i="25"/>
  <c r="H11" i="25"/>
  <c r="E11" i="25"/>
  <c r="D11" i="25"/>
  <c r="C11" i="25"/>
  <c r="B11" i="25"/>
  <c r="V10" i="25"/>
  <c r="K10" i="25"/>
  <c r="J10" i="25"/>
  <c r="I10" i="25"/>
  <c r="E10" i="25"/>
  <c r="D10" i="25"/>
  <c r="C10" i="25"/>
  <c r="V9" i="25"/>
  <c r="T9" i="25"/>
  <c r="N9" i="25"/>
  <c r="J9" i="25"/>
  <c r="I9" i="25"/>
  <c r="H9" i="25"/>
  <c r="E9" i="25"/>
  <c r="D9" i="25"/>
  <c r="C9" i="25"/>
  <c r="B9" i="25"/>
  <c r="V8" i="25"/>
  <c r="K8" i="25"/>
  <c r="J8" i="25"/>
  <c r="I8" i="25"/>
  <c r="E8" i="25"/>
  <c r="D8" i="25"/>
  <c r="C8" i="25"/>
  <c r="V7" i="25"/>
  <c r="T7" i="25"/>
  <c r="N7" i="25"/>
  <c r="J7" i="25"/>
  <c r="I7" i="25"/>
  <c r="H7" i="25"/>
  <c r="E7" i="25"/>
  <c r="D7" i="25"/>
  <c r="C7" i="25"/>
  <c r="B7" i="25"/>
  <c r="V6" i="25"/>
  <c r="K6" i="25"/>
  <c r="J6" i="25"/>
  <c r="I6" i="25"/>
  <c r="E6" i="25"/>
  <c r="D6" i="25"/>
  <c r="C6" i="25"/>
  <c r="V5" i="25"/>
  <c r="T5" i="25"/>
  <c r="N5" i="25"/>
  <c r="J5" i="25"/>
  <c r="I5" i="25"/>
  <c r="H5" i="25"/>
  <c r="E5" i="25"/>
  <c r="D5" i="25"/>
  <c r="C5" i="25"/>
  <c r="B5" i="25"/>
  <c r="V4" i="25"/>
  <c r="K4" i="25"/>
  <c r="J4" i="25"/>
  <c r="I4" i="25"/>
  <c r="H4" i="25"/>
  <c r="E4" i="25"/>
  <c r="D4" i="25"/>
  <c r="C4" i="25"/>
  <c r="V3" i="25"/>
  <c r="T3" i="25"/>
  <c r="N3" i="25"/>
  <c r="J3" i="25"/>
  <c r="I3" i="25"/>
  <c r="H3" i="25"/>
  <c r="E3" i="25"/>
  <c r="D3" i="25"/>
  <c r="C3" i="25"/>
  <c r="B3" i="25"/>
  <c r="T2" i="25"/>
  <c r="N2" i="25"/>
  <c r="H2" i="25"/>
  <c r="C2" i="25"/>
  <c r="J51" i="2"/>
  <c r="G51" i="2"/>
  <c r="F51" i="2"/>
  <c r="B51" i="2"/>
  <c r="J50" i="2"/>
  <c r="G50" i="2"/>
  <c r="F50" i="2"/>
  <c r="B50" i="2"/>
  <c r="J49" i="2"/>
  <c r="G49" i="2"/>
  <c r="F49" i="2"/>
  <c r="B49" i="2"/>
  <c r="J48" i="2"/>
  <c r="G48" i="2"/>
  <c r="F48" i="2"/>
  <c r="B48" i="2"/>
  <c r="J47" i="2"/>
  <c r="G47" i="2"/>
  <c r="F47" i="2"/>
  <c r="B47" i="2"/>
  <c r="J46" i="2"/>
  <c r="G46" i="2"/>
  <c r="F46" i="2"/>
  <c r="B46" i="2"/>
  <c r="J45" i="2"/>
  <c r="G45" i="2"/>
  <c r="F45" i="2"/>
  <c r="B45" i="2"/>
  <c r="J44" i="2"/>
  <c r="G44" i="2"/>
  <c r="F44" i="2"/>
  <c r="B44" i="2"/>
  <c r="J43" i="2"/>
  <c r="G43" i="2"/>
  <c r="F43" i="2"/>
  <c r="B43" i="2"/>
  <c r="J42" i="2"/>
  <c r="G42" i="2"/>
  <c r="F42" i="2"/>
  <c r="B42" i="2"/>
  <c r="J41" i="2"/>
  <c r="G41" i="2"/>
  <c r="F41" i="2"/>
  <c r="B41" i="2"/>
  <c r="J40" i="2"/>
  <c r="G40" i="2"/>
  <c r="F40" i="2"/>
  <c r="B40" i="2"/>
  <c r="J39" i="2"/>
  <c r="G39" i="2"/>
  <c r="F39" i="2"/>
  <c r="B39" i="2"/>
  <c r="J38" i="2"/>
  <c r="G38" i="2"/>
  <c r="F38" i="2"/>
  <c r="B38" i="2"/>
  <c r="J37" i="2"/>
  <c r="G37" i="2"/>
  <c r="F37" i="2"/>
  <c r="B37" i="2"/>
  <c r="J36" i="2"/>
  <c r="G36" i="2"/>
  <c r="F36" i="2"/>
  <c r="B36" i="2"/>
  <c r="J35" i="2"/>
  <c r="G35" i="2"/>
  <c r="F35" i="2"/>
  <c r="B35" i="2"/>
  <c r="J34" i="2"/>
  <c r="G34" i="2"/>
  <c r="F34" i="2"/>
  <c r="B34" i="2"/>
  <c r="J33" i="2"/>
  <c r="G33" i="2"/>
  <c r="F33" i="2"/>
  <c r="B33" i="2"/>
  <c r="J32" i="2"/>
  <c r="G32" i="2"/>
  <c r="F32" i="2"/>
  <c r="B32" i="2"/>
  <c r="J31" i="2"/>
  <c r="G31" i="2"/>
  <c r="F31" i="2"/>
  <c r="B31" i="2"/>
  <c r="J30" i="2"/>
  <c r="G30" i="2"/>
  <c r="F30" i="2"/>
  <c r="B30" i="2"/>
  <c r="J29" i="2"/>
  <c r="G29" i="2"/>
  <c r="F29" i="2"/>
  <c r="B29" i="2"/>
  <c r="J28" i="2"/>
  <c r="G28" i="2"/>
  <c r="F28" i="2"/>
  <c r="B28" i="2"/>
  <c r="J27" i="2"/>
  <c r="G27" i="2"/>
  <c r="F27" i="2"/>
  <c r="B27" i="2"/>
  <c r="J26" i="2"/>
  <c r="G26" i="2"/>
  <c r="F26" i="2"/>
  <c r="B26" i="2"/>
  <c r="J25" i="2"/>
  <c r="G25" i="2"/>
  <c r="F25" i="2"/>
  <c r="B25" i="2"/>
  <c r="J24" i="2"/>
  <c r="G24" i="2"/>
  <c r="F24" i="2"/>
  <c r="B24" i="2"/>
  <c r="J23" i="2"/>
  <c r="G23" i="2"/>
  <c r="F23" i="2"/>
  <c r="B23" i="2"/>
  <c r="J22" i="2"/>
  <c r="G22" i="2"/>
  <c r="F22" i="2"/>
  <c r="B22" i="2"/>
  <c r="J21" i="2"/>
  <c r="G21" i="2"/>
  <c r="F21" i="2"/>
  <c r="B21" i="2"/>
  <c r="J20" i="2"/>
  <c r="G20" i="2"/>
  <c r="F20" i="2"/>
  <c r="B20" i="2"/>
  <c r="J19" i="2"/>
  <c r="G19" i="2"/>
  <c r="F19" i="2"/>
  <c r="B19" i="2"/>
  <c r="J18" i="2"/>
  <c r="G18" i="2"/>
  <c r="F18" i="2"/>
  <c r="B18" i="2"/>
  <c r="J17" i="2"/>
  <c r="G17" i="2"/>
  <c r="F17" i="2"/>
  <c r="B17" i="2"/>
  <c r="J16" i="2"/>
  <c r="G16" i="2"/>
  <c r="F16" i="2"/>
  <c r="B16" i="2"/>
  <c r="J15" i="2"/>
  <c r="G15" i="2"/>
  <c r="F15" i="2"/>
  <c r="B15" i="2"/>
  <c r="J14" i="2"/>
  <c r="G14" i="2"/>
  <c r="F14" i="2"/>
  <c r="B14" i="2"/>
  <c r="J13" i="2"/>
  <c r="G13" i="2"/>
  <c r="F13" i="2"/>
  <c r="B13" i="2"/>
  <c r="J12" i="2"/>
  <c r="G12" i="2"/>
  <c r="F12" i="2"/>
  <c r="B12" i="2"/>
  <c r="J11" i="2"/>
  <c r="G11" i="2"/>
  <c r="F11" i="2"/>
  <c r="B11" i="2"/>
  <c r="J10" i="2"/>
  <c r="G10" i="2"/>
  <c r="F10" i="2"/>
  <c r="B10" i="2"/>
  <c r="J9" i="2"/>
  <c r="G9" i="2"/>
  <c r="F9" i="2"/>
  <c r="B9" i="2"/>
  <c r="J8" i="2"/>
  <c r="G8" i="2"/>
  <c r="F8" i="2"/>
  <c r="B8" i="2"/>
  <c r="J7" i="2"/>
  <c r="G7" i="2"/>
  <c r="F7" i="2"/>
  <c r="B7" i="2"/>
  <c r="J6" i="2"/>
  <c r="G6" i="2"/>
  <c r="F6" i="2"/>
  <c r="B6" i="2"/>
  <c r="J5" i="2"/>
  <c r="G5" i="2"/>
  <c r="F5" i="2"/>
  <c r="B5" i="2"/>
  <c r="J4" i="2"/>
  <c r="G4" i="2"/>
  <c r="F4" i="2"/>
  <c r="B4" i="2"/>
  <c r="J3" i="2"/>
  <c r="G3" i="2"/>
  <c r="F3" i="2"/>
  <c r="B3" i="2"/>
  <c r="J2" i="2"/>
  <c r="G2" i="2"/>
  <c r="F2" i="2"/>
  <c r="B2" i="2"/>
  <c r="O45" i="22"/>
  <c r="L44" i="22"/>
  <c r="K44" i="22"/>
  <c r="O40" i="22"/>
  <c r="L37" i="22"/>
  <c r="K37" i="22"/>
  <c r="O35" i="22"/>
  <c r="L47" i="22"/>
  <c r="K47" i="22"/>
  <c r="O39" i="22"/>
  <c r="L40" i="22"/>
  <c r="K40" i="22"/>
  <c r="O49" i="22"/>
  <c r="L45" i="22"/>
  <c r="K45" i="22"/>
  <c r="O34" i="22"/>
  <c r="L36" i="22"/>
  <c r="K36" i="22"/>
  <c r="O37" i="22"/>
  <c r="L50" i="22"/>
  <c r="K50" i="22"/>
  <c r="O44" i="22"/>
  <c r="B51" i="22"/>
  <c r="O48" i="22"/>
  <c r="L49" i="22"/>
  <c r="K49" i="22"/>
  <c r="B50" i="22"/>
  <c r="B49" i="22"/>
  <c r="O33" i="22"/>
  <c r="L30" i="22"/>
  <c r="K30" i="22"/>
  <c r="B48" i="22"/>
  <c r="O51" i="22"/>
  <c r="L38" i="22"/>
  <c r="K38" i="22"/>
  <c r="B47" i="22"/>
  <c r="B46" i="22"/>
  <c r="O22" i="22"/>
  <c r="L18" i="22"/>
  <c r="K18" i="22"/>
  <c r="B45" i="22"/>
  <c r="O50" i="22"/>
  <c r="B44" i="22"/>
  <c r="O31" i="22"/>
  <c r="L31" i="22"/>
  <c r="K31" i="22"/>
  <c r="B43" i="22"/>
  <c r="B42" i="22"/>
  <c r="O29" i="22"/>
  <c r="L28" i="22"/>
  <c r="K28" i="22"/>
  <c r="B41" i="22"/>
  <c r="O28" i="22"/>
  <c r="L20" i="22"/>
  <c r="K20" i="22"/>
  <c r="B40" i="22"/>
  <c r="B39" i="22"/>
  <c r="B38" i="22"/>
  <c r="O32" i="22"/>
  <c r="L19" i="22"/>
  <c r="K19" i="22"/>
  <c r="B37" i="22"/>
  <c r="O26" i="22"/>
  <c r="L29" i="22"/>
  <c r="K29" i="22"/>
  <c r="B36" i="22"/>
  <c r="B35" i="22"/>
  <c r="O27" i="22"/>
  <c r="L21" i="22"/>
  <c r="K21" i="22"/>
  <c r="B34" i="22"/>
  <c r="O46" i="22"/>
  <c r="L46" i="22"/>
  <c r="K46" i="22"/>
  <c r="B33" i="22"/>
  <c r="O36" i="22"/>
  <c r="B32" i="22"/>
  <c r="O3" i="22"/>
  <c r="L14" i="22"/>
  <c r="K14" i="22"/>
  <c r="B31" i="22"/>
  <c r="O47" i="22"/>
  <c r="L35" i="22"/>
  <c r="K35" i="22"/>
  <c r="B30" i="22"/>
  <c r="O2" i="22"/>
  <c r="L17" i="22"/>
  <c r="K17" i="22"/>
  <c r="B29" i="22"/>
  <c r="O38" i="22"/>
  <c r="L42" i="22"/>
  <c r="K42" i="22"/>
  <c r="B28" i="22"/>
  <c r="B27" i="22"/>
  <c r="O42" i="22"/>
  <c r="L51" i="22"/>
  <c r="K51" i="22"/>
  <c r="B26" i="22"/>
  <c r="O9" i="22"/>
  <c r="L4" i="22"/>
  <c r="K4" i="22"/>
  <c r="B25" i="22"/>
  <c r="O5" i="22"/>
  <c r="L12" i="22"/>
  <c r="K12" i="22"/>
  <c r="B24" i="22"/>
  <c r="O17" i="22"/>
  <c r="L10" i="22"/>
  <c r="K10" i="22"/>
  <c r="B23" i="22"/>
  <c r="O43" i="22"/>
  <c r="L48" i="22"/>
  <c r="K48" i="22"/>
  <c r="B22" i="22"/>
  <c r="O21" i="22"/>
  <c r="L27" i="22"/>
  <c r="K27" i="22"/>
  <c r="B21" i="22"/>
  <c r="O41" i="22"/>
  <c r="L39" i="22"/>
  <c r="K39" i="22"/>
  <c r="B20" i="22"/>
  <c r="O13" i="22"/>
  <c r="L3" i="22"/>
  <c r="K3" i="22"/>
  <c r="B19" i="22"/>
  <c r="O7" i="22"/>
  <c r="L6" i="22"/>
  <c r="K6" i="22"/>
  <c r="B18" i="22"/>
  <c r="O11" i="22"/>
  <c r="L7" i="22"/>
  <c r="K7" i="22"/>
  <c r="B17" i="22"/>
  <c r="O19" i="22"/>
  <c r="L32" i="22"/>
  <c r="K32" i="22"/>
  <c r="B16" i="22"/>
  <c r="O16" i="22"/>
  <c r="L2" i="22"/>
  <c r="K2" i="22"/>
  <c r="B15" i="22"/>
  <c r="O24" i="22"/>
  <c r="L24" i="22"/>
  <c r="K24" i="22"/>
  <c r="B14" i="22"/>
  <c r="O12" i="22"/>
  <c r="L11" i="22"/>
  <c r="K11" i="22"/>
  <c r="B13" i="22"/>
  <c r="O4" i="22"/>
  <c r="L16" i="22"/>
  <c r="K16" i="22"/>
  <c r="B12" i="22"/>
  <c r="O23" i="22"/>
  <c r="L25" i="22"/>
  <c r="K25" i="22"/>
  <c r="B11" i="22"/>
  <c r="O6" i="22"/>
  <c r="L5" i="22"/>
  <c r="K5" i="22"/>
  <c r="B10" i="22"/>
  <c r="O25" i="22"/>
  <c r="L33" i="22"/>
  <c r="K33" i="22"/>
  <c r="B9" i="22"/>
  <c r="O14" i="22"/>
  <c r="L13" i="22"/>
  <c r="K13" i="22"/>
  <c r="B8" i="22"/>
  <c r="O30" i="22"/>
  <c r="L26" i="22"/>
  <c r="K26" i="22"/>
  <c r="B7" i="22"/>
  <c r="O20" i="22"/>
  <c r="L23" i="22"/>
  <c r="K23" i="22"/>
  <c r="B6" i="22"/>
  <c r="O15" i="22"/>
  <c r="L15" i="22"/>
  <c r="K15" i="22"/>
  <c r="B5" i="22"/>
  <c r="O10" i="22"/>
  <c r="L8" i="22"/>
  <c r="K8" i="22"/>
  <c r="B4" i="22"/>
  <c r="O8" i="22"/>
  <c r="L9" i="22"/>
  <c r="K9" i="22"/>
  <c r="B3" i="22"/>
  <c r="O18" i="22"/>
  <c r="L22" i="22"/>
  <c r="K22"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Q7" i="34" l="1"/>
  <c r="L16" i="34"/>
  <c r="L11" i="34"/>
  <c r="L10" i="34"/>
  <c r="Q10" i="34" s="1"/>
  <c r="L13" i="34"/>
  <c r="Q13" i="34" s="1"/>
  <c r="L12" i="34"/>
  <c r="Q14" i="34"/>
  <c r="C8" i="1"/>
  <c r="Q15" i="34"/>
  <c r="I41" i="22"/>
  <c r="I2" i="48"/>
  <c r="I5" i="48"/>
  <c r="I4" i="48"/>
  <c r="F36" i="48" s="1"/>
  <c r="M26" i="22" s="1"/>
  <c r="I3" i="48"/>
  <c r="L8" i="34"/>
  <c r="L9" i="34"/>
  <c r="Q9" i="34" s="1"/>
  <c r="L6" i="34"/>
  <c r="Q6" i="34" s="1"/>
  <c r="AH22" i="34"/>
  <c r="AH21" i="34"/>
  <c r="AH23" i="34"/>
  <c r="AH24" i="34"/>
  <c r="AB12" i="13"/>
  <c r="U13" i="25" s="1"/>
  <c r="AB15" i="13"/>
  <c r="AH8" i="13" s="1"/>
  <c r="Z9" i="25" s="1"/>
  <c r="J41" i="22"/>
  <c r="J54" i="2"/>
  <c r="AK17" i="34"/>
  <c r="AQ17" i="34" s="1"/>
  <c r="AK16" i="34"/>
  <c r="AQ16" i="34" s="1"/>
  <c r="AB14" i="13"/>
  <c r="U15" i="25" s="1"/>
  <c r="AK15" i="34"/>
  <c r="AQ15" i="34" s="1"/>
  <c r="AB16" i="13"/>
  <c r="U17" i="25" s="1"/>
  <c r="I34" i="22"/>
  <c r="I43" i="22"/>
  <c r="I29" i="22"/>
  <c r="J43" i="22"/>
  <c r="F3" i="54"/>
  <c r="E3" i="54"/>
  <c r="J34" i="22"/>
  <c r="J40" i="22"/>
  <c r="AB10" i="13"/>
  <c r="U11" i="25" s="1"/>
  <c r="O27" i="25"/>
  <c r="O29" i="25"/>
  <c r="AB8" i="13"/>
  <c r="U9" i="25" s="1"/>
  <c r="AB2" i="13"/>
  <c r="U3" i="25" s="1"/>
  <c r="AB3" i="13"/>
  <c r="U4" i="25" s="1"/>
  <c r="I3" i="22"/>
  <c r="I30" i="22"/>
  <c r="J3" i="22"/>
  <c r="J18" i="22"/>
  <c r="E4" i="54"/>
  <c r="J8" i="22"/>
  <c r="J28" i="22"/>
  <c r="J42" i="22"/>
  <c r="J21" i="22"/>
  <c r="I18" i="22"/>
  <c r="N27" i="22"/>
  <c r="I21" i="22"/>
  <c r="J15" i="22"/>
  <c r="I15" i="22"/>
  <c r="N22" i="22"/>
  <c r="J7" i="22"/>
  <c r="I10" i="22"/>
  <c r="I39" i="22"/>
  <c r="J20" i="22"/>
  <c r="J6" i="22"/>
  <c r="J39" i="22"/>
  <c r="J35" i="22"/>
  <c r="F4" i="54"/>
  <c r="N15" i="22"/>
  <c r="F6" i="34"/>
  <c r="N13" i="22"/>
  <c r="N40" i="22"/>
  <c r="N33" i="22"/>
  <c r="N29" i="22"/>
  <c r="N21" i="22"/>
  <c r="N2" i="22"/>
  <c r="N17" i="22"/>
  <c r="O32" i="25"/>
  <c r="N11" i="22"/>
  <c r="N35" i="22"/>
  <c r="N47" i="22"/>
  <c r="N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51" i="22"/>
  <c r="J48" i="22"/>
  <c r="J2" i="22"/>
  <c r="J36" i="22"/>
  <c r="J45" i="22"/>
  <c r="N42" i="22"/>
  <c r="N37" i="22"/>
  <c r="N50" i="22"/>
  <c r="N43" i="22"/>
  <c r="N34" i="22"/>
  <c r="N48" i="22"/>
  <c r="N18" i="22"/>
  <c r="N23" i="22"/>
  <c r="N46" i="22"/>
  <c r="J47" i="22"/>
  <c r="J17" i="22"/>
  <c r="J22" i="22"/>
  <c r="J25" i="22"/>
  <c r="J38" i="22"/>
  <c r="J14" i="22"/>
  <c r="J9" i="22"/>
  <c r="J46" i="22"/>
  <c r="J37" i="22"/>
  <c r="J26" i="22"/>
  <c r="J12" i="22"/>
  <c r="J44" i="22"/>
  <c r="J33" i="22"/>
  <c r="J4" i="22"/>
  <c r="J32" i="22"/>
  <c r="J31" i="22"/>
  <c r="J13" i="22"/>
  <c r="J23" i="22"/>
  <c r="N3" i="22"/>
  <c r="N8" i="22"/>
  <c r="N4" i="22"/>
  <c r="N30" i="22"/>
  <c r="N24" i="22"/>
  <c r="N38" i="22"/>
  <c r="N45" i="22"/>
  <c r="N32" i="22"/>
  <c r="N25" i="22"/>
  <c r="N19" i="22"/>
  <c r="N31" i="22"/>
  <c r="N39" i="22"/>
  <c r="N6" i="22"/>
  <c r="N14" i="22"/>
  <c r="N7" i="22"/>
  <c r="N20" i="22"/>
  <c r="N51" i="22"/>
  <c r="N41" i="22"/>
  <c r="I50" i="22"/>
  <c r="I48" i="22"/>
  <c r="I36" i="22"/>
  <c r="I45" i="22"/>
  <c r="I49" i="22"/>
  <c r="I22" i="22"/>
  <c r="I25" i="22"/>
  <c r="I38" i="22"/>
  <c r="I20" i="22"/>
  <c r="I14" i="22"/>
  <c r="I12" i="22"/>
  <c r="I24" i="22"/>
  <c r="I44" i="22"/>
  <c r="I33" i="22"/>
  <c r="I32" i="22"/>
  <c r="I31" i="22"/>
  <c r="I40" i="22"/>
  <c r="I13" i="22"/>
  <c r="I6" i="22"/>
  <c r="I23" i="22"/>
  <c r="I35" i="22"/>
  <c r="AB13" i="13"/>
  <c r="U14" i="25" s="1"/>
  <c r="O6" i="25"/>
  <c r="AB17" i="13"/>
  <c r="U18" i="25" s="1"/>
  <c r="O4" i="25"/>
  <c r="O23" i="25"/>
  <c r="O15" i="25"/>
  <c r="A2" i="2"/>
  <c r="W36" i="7"/>
  <c r="U36" i="7" s="1"/>
  <c r="M29" i="22"/>
  <c r="M12" i="22"/>
  <c r="L5" i="34"/>
  <c r="Q5" i="34" s="1"/>
  <c r="I7" i="22"/>
  <c r="I16" i="22"/>
  <c r="I51" i="22"/>
  <c r="I42" i="22"/>
  <c r="I8" i="22"/>
  <c r="I28" i="22"/>
  <c r="I5" i="22"/>
  <c r="I19" i="22"/>
  <c r="B43" i="24"/>
  <c r="B82" i="24"/>
  <c r="B74" i="24"/>
  <c r="B146" i="24"/>
  <c r="B124" i="24"/>
  <c r="B64" i="24"/>
  <c r="B9" i="24"/>
  <c r="B14" i="24"/>
  <c r="B141" i="24"/>
  <c r="B75" i="24"/>
  <c r="M46" i="22"/>
  <c r="M11" i="22"/>
  <c r="N16" i="22"/>
  <c r="N49" i="22"/>
  <c r="N26" i="22"/>
  <c r="N28" i="22"/>
  <c r="E6" i="54"/>
  <c r="J24" i="22"/>
  <c r="J27" i="22"/>
  <c r="J16" i="22"/>
  <c r="J19" i="22"/>
  <c r="W6" i="7"/>
  <c r="U6" i="7" s="1"/>
  <c r="W10" i="7"/>
  <c r="B76" i="24"/>
  <c r="B68" i="24"/>
  <c r="B97" i="24"/>
  <c r="B11" i="24"/>
  <c r="B83" i="24"/>
  <c r="B61" i="24"/>
  <c r="B91" i="24"/>
  <c r="B99" i="24"/>
  <c r="B139" i="24"/>
  <c r="B133" i="24"/>
  <c r="B144" i="24"/>
  <c r="B6" i="24"/>
  <c r="B47" i="24"/>
  <c r="B45" i="24"/>
  <c r="B123" i="24"/>
  <c r="B100" i="24"/>
  <c r="B59" i="24"/>
  <c r="B92" i="24"/>
  <c r="B19" i="24"/>
  <c r="B84" i="24"/>
  <c r="W30" i="7"/>
  <c r="U30" i="7" s="1"/>
  <c r="W23" i="7"/>
  <c r="U23" i="7" s="1"/>
  <c r="W44" i="7"/>
  <c r="U44" i="7" s="1"/>
  <c r="W41" i="7"/>
  <c r="W9" i="7"/>
  <c r="U9" i="7" s="1"/>
  <c r="W17" i="7"/>
  <c r="W33" i="7"/>
  <c r="W14" i="7"/>
  <c r="U14" i="7" s="1"/>
  <c r="W46" i="7"/>
  <c r="U46" i="7" s="1"/>
  <c r="J10" i="22"/>
  <c r="J30" i="22"/>
  <c r="J29" i="22"/>
  <c r="J49" i="22"/>
  <c r="J5" i="22"/>
  <c r="N12" i="22"/>
  <c r="N44" i="22"/>
  <c r="J11" i="22"/>
  <c r="J50" i="22"/>
  <c r="B112" i="24"/>
  <c r="B104" i="24"/>
  <c r="B52" i="24"/>
  <c r="B147" i="24"/>
  <c r="B134" i="24"/>
  <c r="B110" i="24"/>
  <c r="B126" i="24"/>
  <c r="B118" i="24"/>
  <c r="B142" i="24"/>
  <c r="M28" i="22"/>
  <c r="M24" i="22"/>
  <c r="M42" i="22"/>
  <c r="M40" i="22"/>
  <c r="M16" i="22"/>
  <c r="M33" i="22"/>
  <c r="E2" i="54"/>
  <c r="A6" i="2"/>
  <c r="W43" i="7"/>
  <c r="U43" i="7" s="1"/>
  <c r="B113" i="24"/>
  <c r="B66" i="24"/>
  <c r="B81" i="24"/>
  <c r="B105"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102" i="24"/>
  <c r="B129" i="24"/>
  <c r="B49" i="24"/>
  <c r="B116" i="24"/>
  <c r="B145" i="24"/>
  <c r="B149" i="24"/>
  <c r="B33" i="24"/>
  <c r="B37" i="24"/>
  <c r="B60" i="24"/>
  <c r="B86" i="24"/>
  <c r="B130" i="24"/>
  <c r="B111" i="24"/>
  <c r="B132" i="24"/>
  <c r="B140" i="24"/>
  <c r="B54" i="24"/>
  <c r="B143" i="24"/>
  <c r="B3" i="24"/>
  <c r="B67" i="24"/>
  <c r="B90" i="24"/>
  <c r="B98" i="24"/>
  <c r="B53" i="24"/>
  <c r="B73" i="24"/>
  <c r="B89" i="24"/>
  <c r="B137" i="24"/>
  <c r="B41" i="24"/>
  <c r="B69" i="24"/>
  <c r="B114" i="24"/>
  <c r="B87" i="24"/>
  <c r="B21" i="24"/>
  <c r="B25" i="24"/>
  <c r="B29" i="24"/>
  <c r="B55" i="24"/>
  <c r="B95" i="24"/>
  <c r="B108" i="24"/>
  <c r="B131" i="24"/>
  <c r="B7" i="24"/>
  <c r="B103" i="24"/>
  <c r="B101" i="24"/>
  <c r="B136" i="24"/>
  <c r="B71" i="24"/>
  <c r="B119" i="24"/>
  <c r="B120" i="24"/>
  <c r="B121" i="24"/>
  <c r="B79" i="24"/>
  <c r="B39" i="24"/>
  <c r="B106" i="24"/>
  <c r="B127" i="24"/>
  <c r="B125" i="24"/>
  <c r="B93" i="24"/>
  <c r="B150"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F23" i="48"/>
  <c r="M17" i="22" s="1"/>
  <c r="F2" i="48"/>
  <c r="M2" i="22" s="1"/>
  <c r="F55" i="48"/>
  <c r="M49" i="22" s="1"/>
  <c r="B13" i="24"/>
  <c r="B20" i="24"/>
  <c r="B77" i="24"/>
  <c r="B85" i="24"/>
  <c r="B135" i="24"/>
  <c r="B12" i="24"/>
  <c r="B22" i="24"/>
  <c r="B117" i="24"/>
  <c r="B8" i="24"/>
  <c r="B148" i="24"/>
  <c r="B32" i="24"/>
  <c r="B36" i="24"/>
  <c r="B46" i="24"/>
  <c r="B56" i="24"/>
  <c r="B63" i="24"/>
  <c r="B70" i="24"/>
  <c r="B80" i="24"/>
  <c r="B94" i="24"/>
  <c r="B107" i="24"/>
  <c r="B138" i="24"/>
  <c r="B151" i="24"/>
  <c r="B26" i="24"/>
  <c r="B30" i="24"/>
  <c r="B40" i="24"/>
  <c r="B50" i="24"/>
  <c r="B58" i="24"/>
  <c r="B78" i="24"/>
  <c r="B88" i="24"/>
  <c r="B115" i="24"/>
  <c r="B128" i="24"/>
  <c r="B10" i="24"/>
  <c r="B24" i="24"/>
  <c r="B34" i="24"/>
  <c r="B44" i="24"/>
  <c r="B48" i="24"/>
  <c r="B57" i="24"/>
  <c r="B96" i="24"/>
  <c r="B122" i="24"/>
  <c r="B72" i="24"/>
  <c r="B109" i="24"/>
  <c r="B4" i="24"/>
  <c r="B28" i="24"/>
  <c r="B38" i="24"/>
  <c r="B42" i="24"/>
  <c r="B65" i="24"/>
  <c r="A6" i="5"/>
  <c r="A5" i="24"/>
  <c r="A30" i="5"/>
  <c r="A29" i="24"/>
  <c r="A113" i="24"/>
  <c r="A77" i="24"/>
  <c r="A4" i="5"/>
  <c r="A2" i="24"/>
  <c r="A27" i="5"/>
  <c r="A26" i="24"/>
  <c r="A58" i="5"/>
  <c r="A56" i="24"/>
  <c r="A109" i="5"/>
  <c r="A107" i="24"/>
  <c r="A145" i="5"/>
  <c r="A143" i="24"/>
  <c r="A71" i="24"/>
  <c r="A35" i="24"/>
  <c r="A101" i="24"/>
  <c r="A95" i="24"/>
  <c r="A89" i="24"/>
  <c r="A137" i="24"/>
  <c r="A83" i="24"/>
  <c r="A106" i="5"/>
  <c r="A104" i="24"/>
  <c r="A112" i="5"/>
  <c r="A110" i="24"/>
  <c r="A118" i="5"/>
  <c r="A116" i="24"/>
  <c r="A125" i="24"/>
  <c r="A131" i="24"/>
  <c r="A119" i="24"/>
  <c r="A148" i="5"/>
  <c r="A15" i="5"/>
  <c r="A39" i="5"/>
  <c r="A57" i="5"/>
  <c r="A28" i="5"/>
  <c r="A22" i="2"/>
  <c r="F2" i="54"/>
  <c r="E5" i="54"/>
  <c r="F5" i="54"/>
  <c r="A59" i="24"/>
  <c r="A61" i="5"/>
  <c r="A43" i="5"/>
  <c r="A41" i="24"/>
  <c r="A42" i="5"/>
  <c r="A20" i="24"/>
  <c r="A21" i="5"/>
  <c r="A34" i="5"/>
  <c r="A32" i="24"/>
  <c r="A46" i="5"/>
  <c r="A122" i="24"/>
  <c r="A140" i="24"/>
  <c r="A16" i="5"/>
  <c r="A63" i="5"/>
  <c r="A128" i="24"/>
  <c r="A134" i="24"/>
  <c r="A51" i="5"/>
  <c r="A62" i="24"/>
  <c r="A68" i="24"/>
  <c r="A74" i="24"/>
  <c r="A80" i="24"/>
  <c r="A86" i="24"/>
  <c r="A92" i="24"/>
  <c r="A98" i="24"/>
  <c r="A3" i="5"/>
  <c r="A147" i="5"/>
  <c r="A19" i="5"/>
  <c r="A8" i="24"/>
  <c r="A17" i="24"/>
  <c r="A44" i="24"/>
  <c r="C2" i="54"/>
  <c r="F6" i="54"/>
  <c r="A50" i="2"/>
  <c r="A42" i="2"/>
  <c r="A46" i="2"/>
  <c r="A3" i="2"/>
  <c r="A48" i="2"/>
  <c r="A10" i="2"/>
  <c r="A19" i="2"/>
  <c r="A26" i="2"/>
  <c r="A35" i="2"/>
  <c r="A41" i="2"/>
  <c r="N5" i="22"/>
  <c r="N36" i="22"/>
  <c r="A9" i="2"/>
  <c r="A16" i="2"/>
  <c r="A25" i="2"/>
  <c r="A32" i="2"/>
  <c r="A43" i="2"/>
  <c r="I26" i="22"/>
  <c r="A5" i="2"/>
  <c r="A12" i="2"/>
  <c r="A21" i="2"/>
  <c r="A28" i="2"/>
  <c r="A37" i="2"/>
  <c r="I46" i="22"/>
  <c r="A38" i="2"/>
  <c r="A11" i="2"/>
  <c r="A18" i="2"/>
  <c r="I47" i="22"/>
  <c r="A27" i="2"/>
  <c r="A34" i="2"/>
  <c r="N9" i="22"/>
  <c r="A15" i="2"/>
  <c r="I17" i="22"/>
  <c r="A31" i="2"/>
  <c r="I37" i="22"/>
  <c r="A45" i="2"/>
  <c r="A47" i="2"/>
  <c r="O54" i="22"/>
  <c r="A8" i="2"/>
  <c r="A17" i="2"/>
  <c r="A24" i="2"/>
  <c r="A33" i="2"/>
  <c r="A40" i="2"/>
  <c r="A7" i="2"/>
  <c r="I11" i="22"/>
  <c r="A14" i="2"/>
  <c r="A23" i="2"/>
  <c r="I27" i="22"/>
  <c r="A30" i="2"/>
  <c r="A39" i="2"/>
  <c r="I9" i="22"/>
  <c r="A4" i="2"/>
  <c r="A13" i="2"/>
  <c r="A20" i="2"/>
  <c r="A29" i="2"/>
  <c r="A36" i="2"/>
  <c r="A44" i="2"/>
  <c r="H28" i="34"/>
  <c r="G27" i="34"/>
  <c r="F26" i="34"/>
  <c r="H24" i="34"/>
  <c r="F23" i="34"/>
  <c r="F20" i="34"/>
  <c r="G28" i="34"/>
  <c r="F27" i="34"/>
  <c r="G24" i="34"/>
  <c r="H21" i="34"/>
  <c r="AH20" i="34"/>
  <c r="AP20" i="34" s="1"/>
  <c r="G18" i="34"/>
  <c r="AB16" i="34"/>
  <c r="AN16" i="34" s="1"/>
  <c r="AK14" i="34"/>
  <c r="AQ14" i="34" s="1"/>
  <c r="H13" i="34"/>
  <c r="AH12" i="34"/>
  <c r="AP12" i="34" s="1"/>
  <c r="G12" i="34"/>
  <c r="F11" i="34"/>
  <c r="AE10" i="34"/>
  <c r="AO10" i="34" s="1"/>
  <c r="AK8" i="34"/>
  <c r="AQ8" i="34" s="1"/>
  <c r="F22" i="34"/>
  <c r="F19" i="34"/>
  <c r="G15" i="34"/>
  <c r="AE14" i="34"/>
  <c r="AO14" i="34" s="1"/>
  <c r="F12" i="34"/>
  <c r="AH9" i="34"/>
  <c r="AP9" i="34" s="1"/>
  <c r="AK7" i="34"/>
  <c r="AQ7" i="34" s="1"/>
  <c r="H6" i="34"/>
  <c r="AH5" i="34"/>
  <c r="AP5" i="34" s="1"/>
  <c r="G5" i="34"/>
  <c r="H27" i="34"/>
  <c r="H25" i="34"/>
  <c r="AE20" i="34"/>
  <c r="AO20" i="34" s="1"/>
  <c r="AB18" i="34"/>
  <c r="AN18" i="34" s="1"/>
  <c r="AH17" i="34"/>
  <c r="AP17" i="34" s="1"/>
  <c r="AH15" i="34"/>
  <c r="AP15" i="34" s="1"/>
  <c r="F15" i="34"/>
  <c r="AB11" i="34"/>
  <c r="AN11" i="34" s="1"/>
  <c r="AK10" i="34"/>
  <c r="AQ10" i="34" s="1"/>
  <c r="H10" i="34"/>
  <c r="H7" i="34"/>
  <c r="AH6" i="34"/>
  <c r="AP6" i="34" s="1"/>
  <c r="G6" i="34"/>
  <c r="F5" i="34"/>
  <c r="G25" i="34"/>
  <c r="H23" i="34"/>
  <c r="G21" i="34"/>
  <c r="AH19" i="34"/>
  <c r="AP19" i="34" s="1"/>
  <c r="H18" i="34"/>
  <c r="AE17" i="34"/>
  <c r="AO17" i="34" s="1"/>
  <c r="H16" i="34"/>
  <c r="AB14" i="34"/>
  <c r="AN14" i="34" s="1"/>
  <c r="AK13" i="34"/>
  <c r="AQ13" i="34" s="1"/>
  <c r="G13" i="34"/>
  <c r="AE12" i="34"/>
  <c r="AO12" i="34" s="1"/>
  <c r="G10" i="34"/>
  <c r="AE9" i="34"/>
  <c r="AO9" i="34" s="1"/>
  <c r="H8" i="34"/>
  <c r="AH7" i="34"/>
  <c r="AP7" i="34" s="1"/>
  <c r="G7" i="34"/>
  <c r="AE5" i="34"/>
  <c r="AO5" i="34" s="1"/>
  <c r="F25" i="34"/>
  <c r="G23" i="34"/>
  <c r="F21" i="34"/>
  <c r="AB20" i="34"/>
  <c r="AN20" i="34" s="1"/>
  <c r="F18" i="34"/>
  <c r="G16" i="34"/>
  <c r="AE15" i="34"/>
  <c r="AO15" i="34" s="1"/>
  <c r="AH13" i="34"/>
  <c r="AP13" i="34" s="1"/>
  <c r="F13" i="34"/>
  <c r="AH10" i="34"/>
  <c r="AP10" i="34" s="1"/>
  <c r="F10" i="34"/>
  <c r="AB9" i="34"/>
  <c r="AN9" i="34" s="1"/>
  <c r="AH8" i="34"/>
  <c r="AP8" i="34" s="1"/>
  <c r="G8" i="34"/>
  <c r="F7" i="34"/>
  <c r="AE6" i="34"/>
  <c r="AO6" i="34" s="1"/>
  <c r="F28" i="34"/>
  <c r="H20" i="34"/>
  <c r="AE19" i="34"/>
  <c r="AO19" i="34" s="1"/>
  <c r="AB17" i="34"/>
  <c r="AN17" i="34" s="1"/>
  <c r="AH16" i="34"/>
  <c r="AP16" i="34" s="1"/>
  <c r="F16" i="34"/>
  <c r="H14" i="34"/>
  <c r="AB12" i="34"/>
  <c r="AN12" i="34" s="1"/>
  <c r="AK11" i="34"/>
  <c r="AQ11" i="34" s="1"/>
  <c r="H11" i="34"/>
  <c r="H9" i="34"/>
  <c r="F8" i="34"/>
  <c r="AE7" i="34"/>
  <c r="AO7" i="34" s="1"/>
  <c r="AB5" i="34"/>
  <c r="AN5" i="34" s="1"/>
  <c r="G20" i="34"/>
  <c r="AB19" i="34"/>
  <c r="AN19" i="34" s="1"/>
  <c r="AH18" i="34"/>
  <c r="AP18" i="34" s="1"/>
  <c r="H17" i="34"/>
  <c r="AB15" i="34"/>
  <c r="AN15" i="34" s="1"/>
  <c r="G14" i="34"/>
  <c r="AE13" i="34"/>
  <c r="AO13" i="34" s="1"/>
  <c r="G11" i="34"/>
  <c r="G9" i="34"/>
  <c r="AE8" i="34"/>
  <c r="AO8" i="34" s="1"/>
  <c r="AB6" i="34"/>
  <c r="AN6" i="34" s="1"/>
  <c r="H26" i="34"/>
  <c r="F24" i="34"/>
  <c r="H22" i="34"/>
  <c r="H19" i="34"/>
  <c r="G17" i="34"/>
  <c r="AE16" i="34"/>
  <c r="AO16" i="34" s="1"/>
  <c r="AH14" i="34"/>
  <c r="AP14" i="34" s="1"/>
  <c r="F14" i="34"/>
  <c r="AH11" i="34"/>
  <c r="AP11" i="34" s="1"/>
  <c r="AB10" i="34"/>
  <c r="AN10" i="34" s="1"/>
  <c r="AK9" i="34"/>
  <c r="AQ9" i="34" s="1"/>
  <c r="F9" i="34"/>
  <c r="AB7" i="34"/>
  <c r="AN7" i="34" s="1"/>
  <c r="AK5" i="34"/>
  <c r="AQ5" i="34" s="1"/>
  <c r="G22" i="34"/>
  <c r="H15" i="34"/>
  <c r="H5" i="34"/>
  <c r="G19" i="34"/>
  <c r="AE18" i="34"/>
  <c r="AO18" i="34" s="1"/>
  <c r="AB13" i="34"/>
  <c r="AN13" i="34" s="1"/>
  <c r="AB8" i="34"/>
  <c r="AN8" i="34" s="1"/>
  <c r="AK12" i="34"/>
  <c r="AQ12" i="34" s="1"/>
  <c r="G26" i="34"/>
  <c r="F17" i="34"/>
  <c r="H12" i="34"/>
  <c r="AE11" i="34"/>
  <c r="AO11" i="34" s="1"/>
  <c r="AK6" i="34"/>
  <c r="AQ6" i="34" s="1"/>
  <c r="I2" i="22"/>
  <c r="A51" i="2"/>
  <c r="A49" i="2"/>
  <c r="B2" i="54"/>
  <c r="L6" i="54"/>
  <c r="W40" i="7"/>
  <c r="U40" i="7" s="1"/>
  <c r="C2" i="1"/>
  <c r="I4" i="22"/>
  <c r="W32" i="7"/>
  <c r="U32" i="7" s="1"/>
  <c r="W47" i="7"/>
  <c r="U47" i="7" s="1"/>
  <c r="B2" i="24"/>
  <c r="W45" i="7"/>
  <c r="U45" i="7" s="1"/>
  <c r="A9" i="5"/>
  <c r="A13" i="5"/>
  <c r="A33" i="5"/>
  <c r="A36" i="5"/>
  <c r="A40" i="5"/>
  <c r="A52" i="5"/>
  <c r="A12" i="5"/>
  <c r="A22" i="5"/>
  <c r="A60" i="5"/>
  <c r="A25" i="5"/>
  <c r="A48" i="5"/>
  <c r="A54" i="5"/>
  <c r="A55" i="5"/>
  <c r="A24" i="5"/>
  <c r="A7" i="5"/>
  <c r="A31" i="5"/>
  <c r="A49" i="5"/>
  <c r="A67" i="5"/>
  <c r="A66" i="5"/>
  <c r="A142" i="5"/>
  <c r="A69" i="5"/>
  <c r="A72" i="5"/>
  <c r="A75" i="5"/>
  <c r="A78" i="5"/>
  <c r="A81" i="5"/>
  <c r="A84" i="5"/>
  <c r="A87" i="5"/>
  <c r="A90" i="5"/>
  <c r="A93" i="5"/>
  <c r="A96" i="5"/>
  <c r="A99" i="5"/>
  <c r="A102" i="5"/>
  <c r="A105" i="5"/>
  <c r="A108" i="5"/>
  <c r="A111" i="5"/>
  <c r="A114" i="5"/>
  <c r="A117" i="5"/>
  <c r="A120" i="5"/>
  <c r="A123" i="5"/>
  <c r="A126" i="5"/>
  <c r="A129" i="5"/>
  <c r="A132" i="5"/>
  <c r="A135" i="5"/>
  <c r="A138" i="5"/>
  <c r="A150" i="5"/>
  <c r="A144" i="5"/>
  <c r="A151" i="5"/>
  <c r="AB9" i="13"/>
  <c r="AB5" i="13"/>
  <c r="AB7" i="13"/>
  <c r="AB6" i="13"/>
  <c r="AB4" i="13"/>
  <c r="AB11" i="13"/>
  <c r="AI21" i="34" l="1"/>
  <c r="AI24" i="34"/>
  <c r="U16" i="25"/>
  <c r="AI22" i="34"/>
  <c r="AI23" i="34"/>
  <c r="AL17" i="34"/>
  <c r="AL16" i="34"/>
  <c r="AL15" i="34"/>
  <c r="C5" i="54"/>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Z3" i="25" s="1"/>
  <c r="S8" i="34"/>
  <c r="O8" i="34"/>
  <c r="R8" i="34"/>
  <c r="N8" i="34"/>
  <c r="P8" i="34"/>
  <c r="Q8" i="34"/>
  <c r="M23" i="22"/>
  <c r="M36" i="22"/>
  <c r="B6" i="54"/>
  <c r="M3" i="55"/>
  <c r="O3" i="55" s="1"/>
  <c r="E22" i="34"/>
  <c r="AL5" i="34"/>
  <c r="E5" i="34"/>
  <c r="O16" i="34"/>
  <c r="R16" i="34"/>
  <c r="N16" i="34"/>
  <c r="Q16" i="34"/>
  <c r="P16" i="34"/>
  <c r="S16" i="34"/>
  <c r="AC20" i="34"/>
  <c r="AC17" i="34"/>
  <c r="P30" i="5"/>
  <c r="X30" i="5" s="1"/>
  <c r="AI14" i="34"/>
  <c r="E11" i="34"/>
  <c r="AC19" i="34"/>
  <c r="D18" i="34"/>
  <c r="D20" i="34"/>
  <c r="B4" i="54"/>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M27" i="22" s="1"/>
  <c r="B16" i="10"/>
  <c r="F4" i="48"/>
  <c r="F53" i="48"/>
  <c r="F35" i="48"/>
  <c r="M35" i="22" s="1"/>
  <c r="F7" i="48"/>
  <c r="F38" i="48"/>
  <c r="F52" i="48"/>
  <c r="F19" i="48"/>
  <c r="F54" i="48"/>
  <c r="F51" i="48"/>
  <c r="F39" i="48"/>
  <c r="B18" i="10"/>
  <c r="F5" i="48"/>
  <c r="F3" i="48"/>
  <c r="M3" i="22" s="1"/>
  <c r="F6" i="48"/>
  <c r="B15" i="10"/>
  <c r="F21" i="48"/>
  <c r="M21" i="22" s="1"/>
  <c r="F22" i="48"/>
  <c r="M22" i="22" s="1"/>
  <c r="F18" i="48"/>
  <c r="D24" i="34"/>
  <c r="D14" i="34"/>
  <c r="N54" i="22"/>
  <c r="U8" i="25"/>
  <c r="AH6" i="13"/>
  <c r="U12" i="25"/>
  <c r="AH5" i="13"/>
  <c r="U10" i="25"/>
  <c r="E9" i="3"/>
  <c r="C9" i="23"/>
  <c r="U44" i="5"/>
  <c r="V44" i="5"/>
  <c r="U46" i="5"/>
  <c r="X45" i="5"/>
  <c r="E13" i="3"/>
  <c r="C13" i="23"/>
  <c r="AH3" i="13"/>
  <c r="U6" i="25"/>
  <c r="E5" i="3"/>
  <c r="C5" i="23"/>
  <c r="W46" i="5"/>
  <c r="W45" i="5"/>
  <c r="F43" i="3"/>
  <c r="D43" i="23"/>
  <c r="E15" i="3"/>
  <c r="C15" i="23"/>
  <c r="AH4" i="13"/>
  <c r="U7" i="25"/>
  <c r="X46" i="5"/>
  <c r="X14" i="5"/>
  <c r="W14" i="5"/>
  <c r="V14" i="5"/>
  <c r="U14" i="5"/>
  <c r="F45" i="3"/>
  <c r="D45" i="23"/>
  <c r="E14" i="3"/>
  <c r="C14" i="23"/>
  <c r="L3" i="54"/>
  <c r="B3" i="54"/>
  <c r="X43" i="5"/>
  <c r="U45" i="5"/>
  <c r="E6" i="3"/>
  <c r="C6" i="23"/>
  <c r="U5" i="25"/>
  <c r="F37" i="3"/>
  <c r="D37" i="23"/>
  <c r="E12" i="3"/>
  <c r="C12" i="23"/>
  <c r="V46" i="5"/>
  <c r="W44" i="5"/>
  <c r="V43" i="5"/>
  <c r="E4" i="3"/>
  <c r="C4" i="23"/>
  <c r="E19" i="3"/>
  <c r="C19" i="23"/>
  <c r="X44" i="5"/>
  <c r="M37" i="22" l="1"/>
  <c r="M7" i="22"/>
  <c r="B20" i="10"/>
  <c r="Q2" i="3"/>
  <c r="I2" i="3" s="1"/>
  <c r="C8" i="23"/>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I24" i="3" s="1"/>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I127" i="3" s="1"/>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M18" i="22"/>
  <c r="M48" i="22"/>
  <c r="M50" i="22"/>
  <c r="R45" i="3"/>
  <c r="I91" i="3" s="1"/>
  <c r="U3" i="5"/>
  <c r="L3" i="3"/>
  <c r="G3" i="3" s="1"/>
  <c r="R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M13" i="22"/>
  <c r="M31" i="22"/>
  <c r="M20" i="22"/>
  <c r="M5" i="22"/>
  <c r="M41" i="22"/>
  <c r="M19" i="22"/>
  <c r="M15" i="22"/>
  <c r="M9" i="22"/>
  <c r="M30" i="22"/>
  <c r="M4" i="22"/>
  <c r="M32" i="22"/>
  <c r="M39" i="22"/>
  <c r="M8" i="22"/>
  <c r="M14" i="22"/>
  <c r="M47" i="22"/>
  <c r="M45" i="22"/>
  <c r="M38" i="22"/>
  <c r="M34" i="22"/>
  <c r="M51" i="22"/>
  <c r="M43" i="22"/>
  <c r="M25" i="22"/>
  <c r="M44" i="22"/>
  <c r="M10" i="22"/>
  <c r="M6" i="22"/>
  <c r="U8" i="5"/>
  <c r="V8" i="5"/>
  <c r="U4" i="5"/>
  <c r="X32" i="5"/>
  <c r="V4" i="5"/>
  <c r="T96" i="5" s="1"/>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T29" i="5" s="1"/>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T98" i="5" s="1"/>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T131" i="5" s="1"/>
  <c r="Q21" i="3"/>
  <c r="I21" i="3" s="1"/>
  <c r="W41" i="5"/>
  <c r="R32" i="3"/>
  <c r="I78" i="3" s="1"/>
  <c r="U34" i="5"/>
  <c r="X34" i="5"/>
  <c r="T126" i="5" s="1"/>
  <c r="U28" i="5"/>
  <c r="O42" i="3"/>
  <c r="H88" i="3" s="1"/>
  <c r="W34" i="5"/>
  <c r="S45" i="3"/>
  <c r="I137" i="3" s="1"/>
  <c r="S42" i="3"/>
  <c r="I134" i="3" s="1"/>
  <c r="X36" i="5"/>
  <c r="X26" i="5"/>
  <c r="N7" i="3"/>
  <c r="G99" i="3" s="1"/>
  <c r="R99" i="5" s="1"/>
  <c r="X17" i="5"/>
  <c r="V11" i="5"/>
  <c r="T103" i="5" s="1"/>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T129" i="5" s="1"/>
  <c r="X5" i="5"/>
  <c r="O35" i="3"/>
  <c r="H81" i="3" s="1"/>
  <c r="Q38" i="3"/>
  <c r="I38" i="3" s="1"/>
  <c r="N43" i="3"/>
  <c r="G135" i="3" s="1"/>
  <c r="R135" i="5" s="1"/>
  <c r="U11" i="5"/>
  <c r="V5" i="5"/>
  <c r="S38" i="3"/>
  <c r="I130" i="3" s="1"/>
  <c r="N38" i="3"/>
  <c r="G130" i="3" s="1"/>
  <c r="R130" i="5" s="1"/>
  <c r="V27" i="5"/>
  <c r="T27" i="5" s="1"/>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T120" i="5" s="1"/>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T91" i="5"/>
  <c r="O24" i="3"/>
  <c r="H70" i="3" s="1"/>
  <c r="O7" i="3"/>
  <c r="H53" i="3" s="1"/>
  <c r="X23" i="5"/>
  <c r="N24" i="3"/>
  <c r="G116" i="3" s="1"/>
  <c r="R116" i="5" s="1"/>
  <c r="O21" i="3"/>
  <c r="H67" i="3" s="1"/>
  <c r="M24" i="3"/>
  <c r="H24" i="3" s="1"/>
  <c r="T137" i="5"/>
  <c r="U23" i="5"/>
  <c r="X31" i="5"/>
  <c r="V24" i="5"/>
  <c r="T24" i="5" s="1"/>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T112" i="5" s="1"/>
  <c r="U20" i="5"/>
  <c r="G48" i="3"/>
  <c r="R48" i="5" s="1"/>
  <c r="T45" i="5"/>
  <c r="S29" i="3"/>
  <c r="I121" i="3" s="1"/>
  <c r="Q26" i="3"/>
  <c r="I26" i="3" s="1"/>
  <c r="N26" i="3"/>
  <c r="G118" i="3" s="1"/>
  <c r="R118" i="5" s="1"/>
  <c r="M38" i="3"/>
  <c r="H38" i="3" s="1"/>
  <c r="V22" i="5"/>
  <c r="X42" i="5"/>
  <c r="L35" i="3"/>
  <c r="G35" i="3" s="1"/>
  <c r="R35" i="5" s="1"/>
  <c r="U42" i="5"/>
  <c r="M40" i="3"/>
  <c r="H40" i="3" s="1"/>
  <c r="L40" i="3"/>
  <c r="G40" i="3" s="1"/>
  <c r="R40" i="5" s="1"/>
  <c r="M32" i="3"/>
  <c r="H32" i="3" s="1"/>
  <c r="P32" i="3"/>
  <c r="H124" i="3" s="1"/>
  <c r="S32" i="3"/>
  <c r="I124" i="3" s="1"/>
  <c r="L21" i="3"/>
  <c r="G67" i="3" s="1"/>
  <c r="R67" i="5" s="1"/>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5" i="10"/>
  <c r="B27"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AN4" i="13"/>
  <c r="Z7" i="25"/>
  <c r="T135" i="5"/>
  <c r="T89" i="5"/>
  <c r="T43" i="5"/>
  <c r="T138" i="5"/>
  <c r="T92" i="5"/>
  <c r="T46" i="5"/>
  <c r="R14" i="3"/>
  <c r="I60" i="3" s="1"/>
  <c r="Q14" i="3"/>
  <c r="I14" i="3" s="1"/>
  <c r="P14" i="3"/>
  <c r="H106" i="3" s="1"/>
  <c r="O14" i="3"/>
  <c r="H60" i="3" s="1"/>
  <c r="N14" i="3"/>
  <c r="G106" i="3" s="1"/>
  <c r="L14" i="3"/>
  <c r="G14" i="3" s="1"/>
  <c r="S14" i="3"/>
  <c r="I106" i="3" s="1"/>
  <c r="M14" i="3"/>
  <c r="H14" i="3" s="1"/>
  <c r="L12" i="3"/>
  <c r="G58" i="3"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T90" i="5"/>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S6" i="3"/>
  <c r="I98" i="3" s="1"/>
  <c r="R6" i="3"/>
  <c r="I52" i="3" s="1"/>
  <c r="O6" i="3"/>
  <c r="H52" i="3" s="1"/>
  <c r="N6" i="3"/>
  <c r="G98" i="3" s="1"/>
  <c r="M6" i="3"/>
  <c r="H6" i="3" s="1"/>
  <c r="T106" i="5"/>
  <c r="T14" i="5"/>
  <c r="T60" i="5"/>
  <c r="R5" i="3"/>
  <c r="I51" i="3" s="1"/>
  <c r="Q5" i="3"/>
  <c r="I5" i="3" s="1"/>
  <c r="M5" i="3"/>
  <c r="H5" i="3" s="1"/>
  <c r="O5" i="3"/>
  <c r="H51" i="3" s="1"/>
  <c r="N5" i="3"/>
  <c r="G97" i="3" s="1"/>
  <c r="L5" i="3"/>
  <c r="G51" i="3" s="1"/>
  <c r="S5" i="3"/>
  <c r="I97" i="3" s="1"/>
  <c r="P5" i="3"/>
  <c r="H97" i="3" s="1"/>
  <c r="AN2" i="13"/>
  <c r="Z4" i="25"/>
  <c r="S4" i="3"/>
  <c r="I96" i="3" s="1"/>
  <c r="R4" i="3"/>
  <c r="I50" i="3" s="1"/>
  <c r="N4" i="3"/>
  <c r="G96" i="3" s="1"/>
  <c r="Q4" i="3"/>
  <c r="I4" i="3" s="1"/>
  <c r="P4" i="3"/>
  <c r="H96" i="3" s="1"/>
  <c r="O4" i="3"/>
  <c r="H50" i="3" s="1"/>
  <c r="M4" i="3"/>
  <c r="H4" i="3" s="1"/>
  <c r="L4" i="3"/>
  <c r="G4" i="3" s="1"/>
  <c r="AN3" i="13"/>
  <c r="Z5" i="25"/>
  <c r="L50" i="2" l="1"/>
  <c r="M50" i="2" s="1"/>
  <c r="L45" i="2"/>
  <c r="M45" i="2" s="1"/>
  <c r="L48" i="2"/>
  <c r="M48" i="2" s="1"/>
  <c r="L29" i="2"/>
  <c r="M29" i="2" s="1"/>
  <c r="L23" i="2"/>
  <c r="M23" i="2" s="1"/>
  <c r="L47" i="2"/>
  <c r="M47" i="2" s="1"/>
  <c r="L31" i="2"/>
  <c r="M31" i="2" s="1"/>
  <c r="L6" i="2"/>
  <c r="M6" i="2" s="1"/>
  <c r="L20" i="2"/>
  <c r="M20" i="2" s="1"/>
  <c r="L38" i="2"/>
  <c r="M38" i="2" s="1"/>
  <c r="L7" i="2"/>
  <c r="M7" i="2" s="1"/>
  <c r="L39" i="2"/>
  <c r="M39" i="2" s="1"/>
  <c r="L22" i="2"/>
  <c r="M22" i="2" s="1"/>
  <c r="L9" i="2"/>
  <c r="M9" i="2" s="1"/>
  <c r="L43" i="2"/>
  <c r="M43" i="2" s="1"/>
  <c r="L24" i="2"/>
  <c r="M24" i="2" s="1"/>
  <c r="L16" i="2"/>
  <c r="M16" i="2" s="1"/>
  <c r="L11" i="2"/>
  <c r="M11" i="2" s="1"/>
  <c r="L10" i="2"/>
  <c r="M10" i="2" s="1"/>
  <c r="L2" i="2"/>
  <c r="M2" i="2" s="1"/>
  <c r="L8" i="2"/>
  <c r="M8" i="2" s="1"/>
  <c r="L49" i="2"/>
  <c r="M49" i="2" s="1"/>
  <c r="L37" i="2"/>
  <c r="M37" i="2" s="1"/>
  <c r="L19" i="2"/>
  <c r="M19" i="2" s="1"/>
  <c r="L5" i="2"/>
  <c r="M5" i="2" s="1"/>
  <c r="L32" i="2"/>
  <c r="M32" i="2" s="1"/>
  <c r="L41" i="2"/>
  <c r="M41" i="2" s="1"/>
  <c r="L28" i="2"/>
  <c r="M28" i="2" s="1"/>
  <c r="L12" i="2"/>
  <c r="M12" i="2" s="1"/>
  <c r="L35" i="2"/>
  <c r="M35" i="2" s="1"/>
  <c r="L33" i="2"/>
  <c r="M33" i="2" s="1"/>
  <c r="L44" i="2"/>
  <c r="M44" i="2" s="1"/>
  <c r="L18" i="2"/>
  <c r="M18" i="2" s="1"/>
  <c r="L34" i="2"/>
  <c r="M34" i="2" s="1"/>
  <c r="L3" i="2"/>
  <c r="M3" i="2" s="1"/>
  <c r="L21" i="2"/>
  <c r="M21" i="2" s="1"/>
  <c r="L51" i="2"/>
  <c r="M51" i="2" s="1"/>
  <c r="L15" i="2"/>
  <c r="M15" i="2" s="1"/>
  <c r="L27" i="2"/>
  <c r="M27" i="2" s="1"/>
  <c r="L46" i="2"/>
  <c r="M46" i="2" s="1"/>
  <c r="L13" i="2"/>
  <c r="M13" i="2" s="1"/>
  <c r="L17" i="2"/>
  <c r="M17" i="2" s="1"/>
  <c r="L14" i="2"/>
  <c r="M14" i="2" s="1"/>
  <c r="L26" i="2"/>
  <c r="M26" i="2" s="1"/>
  <c r="L4" i="2"/>
  <c r="M4" i="2" s="1"/>
  <c r="L30" i="2"/>
  <c r="M30" i="2" s="1"/>
  <c r="L25" i="2"/>
  <c r="M25" i="2" s="1"/>
  <c r="L42" i="2"/>
  <c r="M42" i="2" s="1"/>
  <c r="L36" i="2"/>
  <c r="M36" i="2" s="1"/>
  <c r="L40" i="2"/>
  <c r="M40" i="2" s="1"/>
  <c r="G8" i="3"/>
  <c r="R8" i="5" s="1"/>
  <c r="S3" i="5"/>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AT2" i="13"/>
  <c r="AT3" i="13"/>
  <c r="AJ4" i="25" s="1"/>
  <c r="AE6" i="25"/>
  <c r="G91" i="3"/>
  <c r="R91" i="5" s="1"/>
  <c r="G49" i="3"/>
  <c r="R49" i="5" s="1"/>
  <c r="G92" i="3"/>
  <c r="R92" i="5" s="1"/>
  <c r="T30" i="5"/>
  <c r="T122" i="5"/>
  <c r="T100" i="5"/>
  <c r="T125" i="5"/>
  <c r="T33" i="5"/>
  <c r="M54" i="22"/>
  <c r="T8" i="5"/>
  <c r="T54" i="5"/>
  <c r="G11" i="3"/>
  <c r="R11" i="5" s="1"/>
  <c r="T7" i="5"/>
  <c r="T53" i="5"/>
  <c r="T124" i="5"/>
  <c r="T4" i="5"/>
  <c r="T50" i="5"/>
  <c r="T62" i="5"/>
  <c r="T16" i="5"/>
  <c r="T65" i="5"/>
  <c r="T19" i="5"/>
  <c r="G84" i="3"/>
  <c r="R84" i="5" s="1"/>
  <c r="T75" i="5"/>
  <c r="T130" i="5"/>
  <c r="T84" i="5"/>
  <c r="T121" i="5"/>
  <c r="T58" i="5"/>
  <c r="G75" i="3"/>
  <c r="R75" i="5" s="1"/>
  <c r="T3" i="5"/>
  <c r="T95" i="5"/>
  <c r="T49" i="5"/>
  <c r="G83" i="3"/>
  <c r="R83" i="5" s="1"/>
  <c r="T55" i="5"/>
  <c r="T9" i="5"/>
  <c r="T110" i="5"/>
  <c r="T101" i="5"/>
  <c r="T81" i="5"/>
  <c r="T2" i="5"/>
  <c r="J2" i="3" s="1"/>
  <c r="T48" i="5"/>
  <c r="T35" i="5"/>
  <c r="T18" i="5"/>
  <c r="G24" i="3"/>
  <c r="R24" i="5" s="1"/>
  <c r="G77" i="3"/>
  <c r="R77" i="5" s="1"/>
  <c r="T64" i="5"/>
  <c r="T6" i="5"/>
  <c r="T52" i="5"/>
  <c r="T139" i="5"/>
  <c r="T47" i="5"/>
  <c r="T93" i="5"/>
  <c r="T105" i="5"/>
  <c r="T10" i="5"/>
  <c r="T59" i="5"/>
  <c r="T13" i="5"/>
  <c r="T102" i="5"/>
  <c r="G27" i="3"/>
  <c r="R27" i="5" s="1"/>
  <c r="G30" i="3"/>
  <c r="R30" i="5" s="1"/>
  <c r="G26" i="3"/>
  <c r="R26" i="5" s="1"/>
  <c r="G85" i="3"/>
  <c r="R85" i="5" s="1"/>
  <c r="T104" i="5"/>
  <c r="G43" i="3"/>
  <c r="R43" i="5" s="1"/>
  <c r="T34" i="5"/>
  <c r="T80" i="5"/>
  <c r="T12" i="5"/>
  <c r="T132" i="5"/>
  <c r="T128" i="5"/>
  <c r="T39" i="5"/>
  <c r="T85" i="5"/>
  <c r="T118" i="5"/>
  <c r="T57" i="5"/>
  <c r="T11" i="5"/>
  <c r="T109" i="5"/>
  <c r="G25" i="3"/>
  <c r="R25" i="5" s="1"/>
  <c r="T87" i="5"/>
  <c r="T40" i="5"/>
  <c r="T86" i="5"/>
  <c r="T73" i="5"/>
  <c r="T119" i="5"/>
  <c r="T51" i="5"/>
  <c r="T113" i="5"/>
  <c r="T72" i="5"/>
  <c r="T37" i="5"/>
  <c r="T83" i="5"/>
  <c r="T67" i="5"/>
  <c r="T5" i="5"/>
  <c r="T97" i="5"/>
  <c r="T26" i="5"/>
  <c r="T70" i="5"/>
  <c r="T68" i="5"/>
  <c r="T17" i="5"/>
  <c r="T74" i="5"/>
  <c r="T28" i="5"/>
  <c r="T15" i="5"/>
  <c r="T107" i="5"/>
  <c r="T63" i="5"/>
  <c r="T133" i="5"/>
  <c r="G7" i="3"/>
  <c r="R7" i="5" s="1"/>
  <c r="T42" i="5"/>
  <c r="T23" i="5"/>
  <c r="T78" i="5"/>
  <c r="G81" i="3"/>
  <c r="R81" i="5" s="1"/>
  <c r="T31" i="5"/>
  <c r="T41" i="5"/>
  <c r="T116" i="5"/>
  <c r="T69" i="5"/>
  <c r="T115" i="5"/>
  <c r="T123" i="5"/>
  <c r="T114" i="5"/>
  <c r="T66" i="5"/>
  <c r="T32" i="5"/>
  <c r="T20" i="5"/>
  <c r="T36" i="5"/>
  <c r="T82" i="5"/>
  <c r="T77" i="5"/>
  <c r="G28" i="3"/>
  <c r="R28" i="5" s="1"/>
  <c r="G42" i="3"/>
  <c r="R42" i="5" s="1"/>
  <c r="G21" i="3"/>
  <c r="R21" i="5" s="1"/>
  <c r="T22" i="5"/>
  <c r="G80" i="3"/>
  <c r="R80" i="5" s="1"/>
  <c r="T88" i="5"/>
  <c r="T134" i="5"/>
  <c r="G5" i="3"/>
  <c r="G13" i="3"/>
  <c r="R13" i="5" s="1"/>
  <c r="T71" i="5"/>
  <c r="T25" i="5"/>
  <c r="T117" i="5"/>
  <c r="G86" i="3"/>
  <c r="R86" i="5" s="1"/>
  <c r="G50" i="3"/>
  <c r="R50" i="5" s="1"/>
  <c r="R19" i="5"/>
  <c r="R59" i="5"/>
  <c r="R14" i="5"/>
  <c r="R105" i="5"/>
  <c r="R4" i="5"/>
  <c r="R107" i="5"/>
  <c r="R9" i="5"/>
  <c r="R52" i="5"/>
  <c r="R58" i="5"/>
  <c r="R96" i="5"/>
  <c r="R97" i="5"/>
  <c r="R111" i="5"/>
  <c r="R61" i="5"/>
  <c r="R101" i="5"/>
  <c r="R51" i="5"/>
  <c r="G65" i="3"/>
  <c r="G15" i="3"/>
  <c r="G12" i="3"/>
  <c r="G60" i="3"/>
  <c r="G55" i="3"/>
  <c r="AE5" i="25"/>
  <c r="AE3" i="25"/>
  <c r="R98" i="5"/>
  <c r="R104" i="5"/>
  <c r="R106" i="5"/>
  <c r="S2" i="5"/>
  <c r="G6" i="3"/>
  <c r="AE4" i="25"/>
  <c r="G10" i="3" l="1"/>
  <c r="AB141" i="5" s="1"/>
  <c r="G56" i="3"/>
  <c r="R56" i="5" s="1"/>
  <c r="P34" i="22"/>
  <c r="P18" i="22"/>
  <c r="P16" i="22"/>
  <c r="P48" i="22"/>
  <c r="P12" i="22"/>
  <c r="P6" i="22"/>
  <c r="P35" i="22"/>
  <c r="P26" i="22"/>
  <c r="P27" i="22"/>
  <c r="P10" i="22"/>
  <c r="P31" i="22"/>
  <c r="P15" i="22"/>
  <c r="P32" i="22"/>
  <c r="P36" i="22"/>
  <c r="P2" i="22"/>
  <c r="P22" i="22"/>
  <c r="P29" i="22"/>
  <c r="P23" i="22"/>
  <c r="P11" i="22"/>
  <c r="P33" i="22"/>
  <c r="P7" i="22"/>
  <c r="P19" i="22"/>
  <c r="P13" i="22"/>
  <c r="P14" i="22"/>
  <c r="P17" i="22"/>
  <c r="P47" i="22"/>
  <c r="P42" i="22"/>
  <c r="P24" i="22"/>
  <c r="P25" i="22"/>
  <c r="P3" i="22"/>
  <c r="P44" i="22"/>
  <c r="P30" i="22"/>
  <c r="P41" i="22"/>
  <c r="P46" i="22"/>
  <c r="P9" i="22"/>
  <c r="P37" i="22"/>
  <c r="P45" i="22"/>
  <c r="P38" i="22"/>
  <c r="P28" i="22"/>
  <c r="P21" i="22"/>
  <c r="P39" i="22"/>
  <c r="P43" i="22"/>
  <c r="P20" i="22"/>
  <c r="P5" i="22"/>
  <c r="J4" i="3"/>
  <c r="P4" i="22"/>
  <c r="P49" i="22"/>
  <c r="P51" i="22"/>
  <c r="P8" i="22"/>
  <c r="P40" i="22"/>
  <c r="P50" i="22"/>
  <c r="AB48" i="5"/>
  <c r="AB94" i="5"/>
  <c r="AB31" i="5"/>
  <c r="AB83" i="5"/>
  <c r="J3" i="3"/>
  <c r="R5" i="5"/>
  <c r="S5" i="5" s="1"/>
  <c r="R55" i="5"/>
  <c r="S9" i="5"/>
  <c r="R6" i="5"/>
  <c r="R60" i="5"/>
  <c r="S8" i="5"/>
  <c r="R12" i="5"/>
  <c r="AJ3" i="25"/>
  <c r="R15" i="5"/>
  <c r="S7" i="5"/>
  <c r="S4" i="5"/>
  <c r="R65" i="5"/>
  <c r="AB114" i="5" l="1"/>
  <c r="AB143" i="5"/>
  <c r="AB23" i="5"/>
  <c r="AB42" i="5"/>
  <c r="AB90" i="5"/>
  <c r="AB65" i="5"/>
  <c r="AB17" i="5"/>
  <c r="AB91" i="5"/>
  <c r="AB139" i="5"/>
  <c r="AB74" i="5"/>
  <c r="AB148" i="5"/>
  <c r="AB149" i="5"/>
  <c r="AB128" i="5"/>
  <c r="AB20" i="5"/>
  <c r="AB147" i="5"/>
  <c r="AB60" i="5"/>
  <c r="AB71" i="5"/>
  <c r="AB72" i="5"/>
  <c r="AB69" i="5"/>
  <c r="AB109" i="5"/>
  <c r="AB33" i="5"/>
  <c r="C112" i="5"/>
  <c r="D112" i="1" s="1"/>
  <c r="C91" i="5"/>
  <c r="C91" i="24" s="1"/>
  <c r="C111" i="5"/>
  <c r="C111" i="24" s="1"/>
  <c r="C150" i="5"/>
  <c r="D150" i="1" s="1"/>
  <c r="C51" i="5"/>
  <c r="D51" i="1" s="1"/>
  <c r="C126" i="5"/>
  <c r="D126" i="1" s="1"/>
  <c r="C127" i="5"/>
  <c r="C127" i="24" s="1"/>
  <c r="C87" i="5"/>
  <c r="D87" i="1" s="1"/>
  <c r="C134" i="5"/>
  <c r="D134" i="1" s="1"/>
  <c r="C115" i="5"/>
  <c r="C115" i="24" s="1"/>
  <c r="C123" i="5"/>
  <c r="C123" i="24" s="1"/>
  <c r="C66" i="5"/>
  <c r="D66" i="1" s="1"/>
  <c r="C108" i="5"/>
  <c r="D108" i="1" s="1"/>
  <c r="C6" i="5"/>
  <c r="C6" i="24" s="1"/>
  <c r="C142" i="5"/>
  <c r="D142" i="1" s="1"/>
  <c r="C11" i="5"/>
  <c r="D11" i="1" s="1"/>
  <c r="C132" i="5"/>
  <c r="C132" i="24" s="1"/>
  <c r="C7" i="5"/>
  <c r="C7" i="24" s="1"/>
  <c r="C109" i="5"/>
  <c r="C109" i="24" s="1"/>
  <c r="C34" i="5"/>
  <c r="C34" i="24" s="1"/>
  <c r="C141" i="5"/>
  <c r="D141" i="1" s="1"/>
  <c r="C22" i="5"/>
  <c r="C22" i="24" s="1"/>
  <c r="C21" i="5"/>
  <c r="D21" i="1" s="1"/>
  <c r="C136" i="5"/>
  <c r="C136" i="24" s="1"/>
  <c r="C124" i="5"/>
  <c r="C124" i="24" s="1"/>
  <c r="C8" i="5"/>
  <c r="D8" i="1" s="1"/>
  <c r="C133" i="5"/>
  <c r="D133" i="1" s="1"/>
  <c r="C129" i="5"/>
  <c r="D129" i="1" s="1"/>
  <c r="C138" i="5"/>
  <c r="D138" i="1" s="1"/>
  <c r="C30" i="5"/>
  <c r="D30" i="1" s="1"/>
  <c r="C10" i="5"/>
  <c r="D10" i="1" s="1"/>
  <c r="C83" i="5"/>
  <c r="C83" i="24" s="1"/>
  <c r="C135" i="5"/>
  <c r="D135" i="1" s="1"/>
  <c r="C50" i="5"/>
  <c r="D50" i="1" s="1"/>
  <c r="C100" i="5"/>
  <c r="C100" i="24" s="1"/>
  <c r="C62" i="5"/>
  <c r="C62" i="24" s="1"/>
  <c r="C63" i="5"/>
  <c r="D63" i="1" s="1"/>
  <c r="C55" i="5"/>
  <c r="C55" i="24" s="1"/>
  <c r="C26" i="5"/>
  <c r="D26" i="1" s="1"/>
  <c r="C37" i="5"/>
  <c r="D37" i="1" s="1"/>
  <c r="S46" i="5"/>
  <c r="C42" i="5"/>
  <c r="D42" i="1" s="1"/>
  <c r="C44" i="5"/>
  <c r="D44" i="1" s="1"/>
  <c r="S31" i="5"/>
  <c r="C119" i="5"/>
  <c r="D119" i="1" s="1"/>
  <c r="C78" i="5"/>
  <c r="D78" i="1" s="1"/>
  <c r="C39" i="5"/>
  <c r="D39" i="1" s="1"/>
  <c r="C121" i="5"/>
  <c r="D121" i="1" s="1"/>
  <c r="C77" i="5"/>
  <c r="C77" i="24" s="1"/>
  <c r="C81" i="5"/>
  <c r="C81" i="24" s="1"/>
  <c r="AB93" i="5"/>
  <c r="AB7" i="5"/>
  <c r="AB97" i="5"/>
  <c r="AB6" i="5"/>
  <c r="E13" i="6"/>
  <c r="D13" i="6"/>
  <c r="E25" i="6"/>
  <c r="H24" i="6" s="1"/>
  <c r="K24" i="6" s="1"/>
  <c r="D32" i="6"/>
  <c r="D26" i="6"/>
  <c r="D27" i="6"/>
  <c r="E39" i="6"/>
  <c r="H38" i="6" s="1"/>
  <c r="D20" i="6"/>
  <c r="E18" i="6"/>
  <c r="H17" i="6" s="1"/>
  <c r="K17" i="6" s="1"/>
  <c r="D11" i="6"/>
  <c r="E34" i="6"/>
  <c r="J31" i="6" s="1"/>
  <c r="E27" i="6"/>
  <c r="J24" i="6" s="1"/>
  <c r="E26" i="6"/>
  <c r="I24" i="6" s="1"/>
  <c r="D33" i="6"/>
  <c r="D39" i="6"/>
  <c r="D25" i="6"/>
  <c r="D19" i="6"/>
  <c r="E11" i="6"/>
  <c r="H10" i="6" s="1"/>
  <c r="K10" i="6" s="1"/>
  <c r="E33" i="6"/>
  <c r="I31" i="6" s="1"/>
  <c r="D34" i="6"/>
  <c r="D40" i="6"/>
  <c r="E12" i="6"/>
  <c r="E20" i="6"/>
  <c r="J17" i="6" s="1"/>
  <c r="M17" i="6" s="1"/>
  <c r="D41" i="6"/>
  <c r="D18" i="6"/>
  <c r="E40" i="6"/>
  <c r="I38" i="6" s="1"/>
  <c r="D12" i="6"/>
  <c r="E19" i="6"/>
  <c r="I17" i="6" s="1"/>
  <c r="L17" i="6" s="1"/>
  <c r="E41" i="6"/>
  <c r="J38" i="6" s="1"/>
  <c r="E32" i="6"/>
  <c r="H31" i="6" s="1"/>
  <c r="K31" i="6" s="1"/>
  <c r="C107" i="5"/>
  <c r="D107" i="1" s="1"/>
  <c r="AB96" i="5"/>
  <c r="AB107" i="5"/>
  <c r="AB106" i="5"/>
  <c r="AB127" i="5"/>
  <c r="AB29" i="5"/>
  <c r="AB67" i="5"/>
  <c r="AB137" i="5"/>
  <c r="AB61" i="5"/>
  <c r="AB108" i="5"/>
  <c r="AB98" i="5"/>
  <c r="AB132" i="5"/>
  <c r="AB3" i="5"/>
  <c r="AB43" i="5"/>
  <c r="AB105" i="5"/>
  <c r="AB129" i="5"/>
  <c r="AB62" i="5"/>
  <c r="AB63" i="5"/>
  <c r="AB131" i="5"/>
  <c r="AB13" i="5"/>
  <c r="AB76" i="5"/>
  <c r="AB150" i="5"/>
  <c r="AB22" i="5"/>
  <c r="AB84" i="5"/>
  <c r="AB86" i="5"/>
  <c r="AB88" i="5"/>
  <c r="AB87" i="5"/>
  <c r="R10" i="5"/>
  <c r="S10" i="5" s="1"/>
  <c r="C12" i="5"/>
  <c r="C12" i="24" s="1"/>
  <c r="C72" i="5"/>
  <c r="D72" i="1" s="1"/>
  <c r="C151" i="5"/>
  <c r="C151" i="24" s="1"/>
  <c r="C88" i="5"/>
  <c r="D88" i="1" s="1"/>
  <c r="C98" i="5"/>
  <c r="D98" i="1" s="1"/>
  <c r="C105" i="5"/>
  <c r="D105" i="1" s="1"/>
  <c r="C19" i="5"/>
  <c r="D19" i="1" s="1"/>
  <c r="C13" i="5"/>
  <c r="D13" i="1" s="1"/>
  <c r="C70" i="5"/>
  <c r="D70" i="1" s="1"/>
  <c r="C25" i="5"/>
  <c r="C25" i="24" s="1"/>
  <c r="C75" i="5"/>
  <c r="D75" i="1" s="1"/>
  <c r="C147" i="5"/>
  <c r="D147" i="1" s="1"/>
  <c r="C40" i="5"/>
  <c r="C40" i="24" s="1"/>
  <c r="C49" i="5"/>
  <c r="D49" i="1" s="1"/>
  <c r="C79" i="5"/>
  <c r="C79" i="24" s="1"/>
  <c r="C122" i="5"/>
  <c r="D122" i="1" s="1"/>
  <c r="C20" i="5"/>
  <c r="C20" i="24" s="1"/>
  <c r="C23" i="5"/>
  <c r="C23" i="24" s="1"/>
  <c r="C114" i="5"/>
  <c r="D114" i="1" s="1"/>
  <c r="C46" i="5"/>
  <c r="D46" i="1" s="1"/>
  <c r="C52" i="5"/>
  <c r="C52" i="24" s="1"/>
  <c r="S48" i="5"/>
  <c r="S37" i="5"/>
  <c r="S21" i="5"/>
  <c r="S52" i="5"/>
  <c r="S54" i="5"/>
  <c r="S15" i="5"/>
  <c r="S32" i="5"/>
  <c r="S19" i="5"/>
  <c r="S23" i="5"/>
  <c r="S40" i="5"/>
  <c r="S18" i="5"/>
  <c r="S50" i="5"/>
  <c r="S13" i="5"/>
  <c r="S24" i="5"/>
  <c r="S29" i="5"/>
  <c r="S16" i="5"/>
  <c r="S33" i="5"/>
  <c r="S20" i="5"/>
  <c r="S42" i="5"/>
  <c r="S30" i="5"/>
  <c r="S45" i="5"/>
  <c r="S36" i="5"/>
  <c r="AB34" i="5"/>
  <c r="AB53" i="5"/>
  <c r="AB85" i="5"/>
  <c r="AB59" i="5"/>
  <c r="AB28" i="5"/>
  <c r="AB100" i="5"/>
  <c r="AB24" i="5"/>
  <c r="AB99" i="5"/>
  <c r="AB47" i="5"/>
  <c r="AB79" i="5"/>
  <c r="AB15" i="5"/>
  <c r="AB54" i="5"/>
  <c r="AB120" i="5"/>
  <c r="AB68" i="5"/>
  <c r="AB89" i="5"/>
  <c r="AB70" i="5"/>
  <c r="C92" i="5"/>
  <c r="C92" i="24" s="1"/>
  <c r="S39" i="5"/>
  <c r="S43" i="5"/>
  <c r="C96" i="5"/>
  <c r="D96" i="1" s="1"/>
  <c r="C48" i="5"/>
  <c r="C48" i="24" s="1"/>
  <c r="C146" i="5"/>
  <c r="D146" i="1" s="1"/>
  <c r="C97" i="5"/>
  <c r="D97" i="1" s="1"/>
  <c r="C61" i="5"/>
  <c r="D61" i="1" s="1"/>
  <c r="C67" i="5"/>
  <c r="C67" i="24" s="1"/>
  <c r="C65" i="5"/>
  <c r="D65" i="1" s="1"/>
  <c r="K145" i="5"/>
  <c r="C15" i="5"/>
  <c r="C15" i="24" s="1"/>
  <c r="C60" i="5"/>
  <c r="D60" i="1" s="1"/>
  <c r="S53" i="5"/>
  <c r="S38" i="5"/>
  <c r="S28" i="5"/>
  <c r="AB142" i="5"/>
  <c r="AB50" i="5"/>
  <c r="AB30" i="5"/>
  <c r="AB37" i="5"/>
  <c r="AB39" i="5"/>
  <c r="AB57" i="5"/>
  <c r="C36" i="5"/>
  <c r="D36" i="1" s="1"/>
  <c r="C74" i="5"/>
  <c r="D74" i="1" s="1"/>
  <c r="C82" i="5"/>
  <c r="C82" i="24" s="1"/>
  <c r="C9" i="5"/>
  <c r="C9" i="24" s="1"/>
  <c r="C80" i="5"/>
  <c r="D80" i="1" s="1"/>
  <c r="C53" i="5"/>
  <c r="C53" i="24" s="1"/>
  <c r="C137" i="5"/>
  <c r="D137" i="1" s="1"/>
  <c r="C3" i="5"/>
  <c r="D3" i="1" s="1"/>
  <c r="S17" i="5"/>
  <c r="C110" i="5"/>
  <c r="D110" i="1" s="1"/>
  <c r="C120" i="5"/>
  <c r="D120" i="1" s="1"/>
  <c r="S12" i="5"/>
  <c r="C104" i="5"/>
  <c r="C104" i="24" s="1"/>
  <c r="C29" i="5"/>
  <c r="D29" i="1" s="1"/>
  <c r="C32" i="5"/>
  <c r="C32" i="24" s="1"/>
  <c r="C2" i="5"/>
  <c r="C2" i="24" s="1"/>
  <c r="C31" i="5"/>
  <c r="D31" i="1" s="1"/>
  <c r="S22" i="5"/>
  <c r="AB113" i="5"/>
  <c r="AB2" i="5"/>
  <c r="AB124" i="5"/>
  <c r="AB95" i="5"/>
  <c r="AB135" i="5"/>
  <c r="AB66" i="5"/>
  <c r="AB26" i="5"/>
  <c r="AB12" i="5"/>
  <c r="AB41" i="5"/>
  <c r="AB27" i="5"/>
  <c r="AB51" i="5"/>
  <c r="AB145" i="5"/>
  <c r="AB103" i="5"/>
  <c r="C4" i="5"/>
  <c r="D4" i="1" s="1"/>
  <c r="AB36" i="5"/>
  <c r="AB136" i="5"/>
  <c r="AB14" i="5"/>
  <c r="AB8" i="5"/>
  <c r="AB35" i="5"/>
  <c r="AB133" i="5"/>
  <c r="AB38" i="5"/>
  <c r="AB119" i="5"/>
  <c r="AB92" i="5"/>
  <c r="AB56" i="5"/>
  <c r="S34" i="5"/>
  <c r="S27" i="5"/>
  <c r="S44" i="5"/>
  <c r="C95" i="5"/>
  <c r="D95" i="1" s="1"/>
  <c r="C73" i="5"/>
  <c r="C73" i="24" s="1"/>
  <c r="C99" i="5"/>
  <c r="D99" i="1" s="1"/>
  <c r="C89" i="5"/>
  <c r="D89" i="1" s="1"/>
  <c r="C28" i="5"/>
  <c r="C28" i="24" s="1"/>
  <c r="C43" i="5"/>
  <c r="C43" i="24" s="1"/>
  <c r="C94" i="5"/>
  <c r="C94" i="24" s="1"/>
  <c r="C85" i="5"/>
  <c r="D85" i="1" s="1"/>
  <c r="C64" i="5"/>
  <c r="D64" i="1" s="1"/>
  <c r="S14" i="5"/>
  <c r="S26" i="5"/>
  <c r="S56" i="5"/>
  <c r="S51" i="5"/>
  <c r="S25" i="5"/>
  <c r="S47" i="5"/>
  <c r="S41" i="5"/>
  <c r="S35" i="5"/>
  <c r="K102" i="5"/>
  <c r="S139" i="5"/>
  <c r="K37" i="5"/>
  <c r="S138" i="5"/>
  <c r="L112" i="5"/>
  <c r="D112" i="5" s="1"/>
  <c r="L102" i="5"/>
  <c r="D102" i="5" s="1"/>
  <c r="E102" i="1" s="1"/>
  <c r="S73" i="5"/>
  <c r="K41" i="5"/>
  <c r="L77" i="5"/>
  <c r="D77" i="5" s="1"/>
  <c r="K93" i="5"/>
  <c r="K134" i="5"/>
  <c r="L122" i="5"/>
  <c r="D122" i="5" s="1"/>
  <c r="L118" i="5"/>
  <c r="D118" i="5" s="1"/>
  <c r="E118" i="1" s="1"/>
  <c r="K114" i="5"/>
  <c r="L8" i="5"/>
  <c r="D8" i="5" s="1"/>
  <c r="S124" i="5"/>
  <c r="S112" i="5"/>
  <c r="K66" i="5"/>
  <c r="K81" i="5"/>
  <c r="K136" i="5"/>
  <c r="S118" i="5"/>
  <c r="K104" i="5"/>
  <c r="L89" i="5"/>
  <c r="D89" i="5" s="1"/>
  <c r="K149" i="5"/>
  <c r="S108" i="5"/>
  <c r="L147" i="5"/>
  <c r="D147" i="5" s="1"/>
  <c r="L3" i="5"/>
  <c r="D3" i="5" s="1"/>
  <c r="K58" i="5"/>
  <c r="K144" i="5"/>
  <c r="L123" i="5"/>
  <c r="D123" i="5" s="1"/>
  <c r="S93" i="5"/>
  <c r="L83" i="5"/>
  <c r="D83" i="5" s="1"/>
  <c r="S109" i="5"/>
  <c r="L146" i="5"/>
  <c r="D146" i="5" s="1"/>
  <c r="L37" i="5"/>
  <c r="D37" i="5" s="1"/>
  <c r="K133" i="5"/>
  <c r="K11" i="5"/>
  <c r="S74" i="5"/>
  <c r="L141" i="5"/>
  <c r="D141" i="5" s="1"/>
  <c r="S101" i="5"/>
  <c r="L48" i="5"/>
  <c r="D48" i="5" s="1"/>
  <c r="S82" i="5"/>
  <c r="K135" i="5"/>
  <c r="S78" i="5"/>
  <c r="S65" i="5"/>
  <c r="K3" i="5"/>
  <c r="K35" i="5"/>
  <c r="S75" i="5"/>
  <c r="L35" i="5"/>
  <c r="D35" i="5" s="1"/>
  <c r="S132" i="5"/>
  <c r="S115" i="5"/>
  <c r="K19" i="5"/>
  <c r="K148" i="5"/>
  <c r="L78" i="5"/>
  <c r="D78" i="5" s="1"/>
  <c r="S94" i="5"/>
  <c r="K112" i="5"/>
  <c r="C149" i="5"/>
  <c r="C149" i="24" s="1"/>
  <c r="C106" i="5"/>
  <c r="D106" i="1" s="1"/>
  <c r="C84" i="5"/>
  <c r="D84" i="1" s="1"/>
  <c r="C5" i="5"/>
  <c r="D5" i="1" s="1"/>
  <c r="C131" i="5"/>
  <c r="C131" i="24" s="1"/>
  <c r="S92" i="5"/>
  <c r="C69" i="5"/>
  <c r="D69" i="1" s="1"/>
  <c r="C33" i="5"/>
  <c r="C33" i="24" s="1"/>
  <c r="C71" i="5"/>
  <c r="D71" i="1" s="1"/>
  <c r="C59" i="5"/>
  <c r="D59" i="1" s="1"/>
  <c r="C125" i="5"/>
  <c r="D125" i="1" s="1"/>
  <c r="C90" i="5"/>
  <c r="D90" i="1" s="1"/>
  <c r="C76" i="5"/>
  <c r="D76" i="1" s="1"/>
  <c r="S11" i="5"/>
  <c r="S96" i="5"/>
  <c r="C139" i="5"/>
  <c r="D139" i="1" s="1"/>
  <c r="C148" i="5"/>
  <c r="C148" i="24" s="1"/>
  <c r="C16" i="5"/>
  <c r="D16" i="1" s="1"/>
  <c r="K111" i="5"/>
  <c r="K110" i="5"/>
  <c r="L54" i="5"/>
  <c r="D54" i="5" s="1"/>
  <c r="L94" i="5"/>
  <c r="D94" i="5" s="1"/>
  <c r="L19" i="5"/>
  <c r="D19" i="5" s="1"/>
  <c r="L44" i="5"/>
  <c r="D44" i="5" s="1"/>
  <c r="K34" i="5"/>
  <c r="S89" i="5"/>
  <c r="K17" i="5"/>
  <c r="K82" i="5"/>
  <c r="K95" i="5"/>
  <c r="L99" i="5"/>
  <c r="D99" i="5" s="1"/>
  <c r="S110" i="5"/>
  <c r="L100" i="5"/>
  <c r="D100" i="5" s="1"/>
  <c r="K24" i="5"/>
  <c r="L90" i="5"/>
  <c r="D90" i="5" s="1"/>
  <c r="L134" i="5"/>
  <c r="D134" i="5" s="1"/>
  <c r="K59" i="5"/>
  <c r="L111" i="5"/>
  <c r="D111" i="5" s="1"/>
  <c r="S69" i="5"/>
  <c r="S100" i="5"/>
  <c r="L11" i="5"/>
  <c r="D11" i="5" s="1"/>
  <c r="K42" i="5"/>
  <c r="K107" i="5"/>
  <c r="L43" i="5"/>
  <c r="D43" i="5" s="1"/>
  <c r="L131" i="5"/>
  <c r="D131" i="5" s="1"/>
  <c r="L133" i="5"/>
  <c r="D133" i="5" s="1"/>
  <c r="L135" i="5"/>
  <c r="D135" i="5" s="1"/>
  <c r="K40" i="5"/>
  <c r="L66" i="5"/>
  <c r="D66" i="5" s="1"/>
  <c r="K124" i="5"/>
  <c r="L59" i="5"/>
  <c r="D59" i="5" s="1"/>
  <c r="K147" i="5"/>
  <c r="S88" i="5"/>
  <c r="L29" i="5"/>
  <c r="D29" i="5" s="1"/>
  <c r="K129" i="5"/>
  <c r="S68" i="5"/>
  <c r="K9" i="5"/>
  <c r="K15" i="5"/>
  <c r="S83" i="5"/>
  <c r="L5" i="5"/>
  <c r="D5" i="5" s="1"/>
  <c r="L150" i="5"/>
  <c r="D150" i="5" s="1"/>
  <c r="S61" i="5"/>
  <c r="S84" i="5"/>
  <c r="L70" i="5"/>
  <c r="D70" i="5" s="1"/>
  <c r="L46" i="5"/>
  <c r="D46" i="5" s="1"/>
  <c r="K16" i="5"/>
  <c r="S91" i="5"/>
  <c r="K39" i="5"/>
  <c r="L72" i="5"/>
  <c r="D72" i="5" s="1"/>
  <c r="L120" i="5"/>
  <c r="D120" i="5" s="1"/>
  <c r="K106" i="5"/>
  <c r="L109" i="5"/>
  <c r="D109" i="5" s="1"/>
  <c r="L42" i="5"/>
  <c r="D42" i="5" s="1"/>
  <c r="K10" i="5"/>
  <c r="K75" i="5"/>
  <c r="S105" i="5"/>
  <c r="K101" i="5"/>
  <c r="S120" i="5"/>
  <c r="L81" i="5"/>
  <c r="D81" i="5" s="1"/>
  <c r="L24" i="5"/>
  <c r="D24" i="5" s="1"/>
  <c r="L55" i="5"/>
  <c r="D55" i="5" s="1"/>
  <c r="L36" i="5"/>
  <c r="D36" i="5" s="1"/>
  <c r="L16" i="5"/>
  <c r="D16" i="5" s="1"/>
  <c r="L22" i="5"/>
  <c r="D22" i="5" s="1"/>
  <c r="K121" i="5"/>
  <c r="L119" i="5"/>
  <c r="D119" i="5" s="1"/>
  <c r="L6" i="5"/>
  <c r="D6" i="5" s="1"/>
  <c r="L10" i="5"/>
  <c r="D10" i="5" s="1"/>
  <c r="L20" i="5"/>
  <c r="D20" i="5" s="1"/>
  <c r="S111" i="5"/>
  <c r="S129" i="5"/>
  <c r="S134" i="5"/>
  <c r="S131" i="5"/>
  <c r="L62" i="5"/>
  <c r="D62" i="5" s="1"/>
  <c r="L13" i="5"/>
  <c r="D13" i="5" s="1"/>
  <c r="K89" i="5"/>
  <c r="L96" i="5"/>
  <c r="D96" i="5" s="1"/>
  <c r="K151" i="5"/>
  <c r="L93" i="5"/>
  <c r="D93" i="5" s="1"/>
  <c r="S59" i="5"/>
  <c r="S135" i="5"/>
  <c r="L33" i="5"/>
  <c r="D33" i="5" s="1"/>
  <c r="K67" i="5"/>
  <c r="L142" i="5"/>
  <c r="D142" i="5" s="1"/>
  <c r="S130" i="5"/>
  <c r="K70" i="5"/>
  <c r="K91" i="5"/>
  <c r="K26" i="5"/>
  <c r="K62" i="5"/>
  <c r="S81" i="5"/>
  <c r="K77" i="5"/>
  <c r="L145" i="5"/>
  <c r="D145" i="5" s="1"/>
  <c r="E145" i="1" s="1"/>
  <c r="K29" i="5"/>
  <c r="L69" i="5"/>
  <c r="D69" i="5" s="1"/>
  <c r="L110" i="5"/>
  <c r="D110" i="5" s="1"/>
  <c r="K56" i="5"/>
  <c r="K7" i="5"/>
  <c r="K13" i="5"/>
  <c r="S77" i="5"/>
  <c r="S136" i="5"/>
  <c r="K139" i="5"/>
  <c r="K108" i="5"/>
  <c r="K63" i="5"/>
  <c r="S125" i="5"/>
  <c r="K73" i="5"/>
  <c r="K99" i="5"/>
  <c r="S114" i="5"/>
  <c r="L31" i="5"/>
  <c r="D31" i="5" s="1"/>
  <c r="K94" i="5"/>
  <c r="K127" i="5"/>
  <c r="K57" i="5"/>
  <c r="L4" i="5"/>
  <c r="D4" i="5" s="1"/>
  <c r="L144" i="5"/>
  <c r="D144" i="5" s="1"/>
  <c r="E144" i="1" s="1"/>
  <c r="L91" i="5"/>
  <c r="D91" i="5" s="1"/>
  <c r="L101" i="5"/>
  <c r="D101" i="5" s="1"/>
  <c r="E101" i="1" s="1"/>
  <c r="K85" i="5"/>
  <c r="S127" i="5"/>
  <c r="K103" i="5"/>
  <c r="L9" i="5"/>
  <c r="D9" i="5" s="1"/>
  <c r="L124" i="5"/>
  <c r="D124" i="5" s="1"/>
  <c r="K43" i="5"/>
  <c r="S66" i="5"/>
  <c r="K31" i="5"/>
  <c r="S57" i="5"/>
  <c r="K131" i="5"/>
  <c r="K79" i="5"/>
  <c r="K32" i="5"/>
  <c r="K132" i="5"/>
  <c r="K123" i="5"/>
  <c r="L104" i="5"/>
  <c r="D104" i="5" s="1"/>
  <c r="L80" i="5"/>
  <c r="D80" i="5" s="1"/>
  <c r="L87" i="5"/>
  <c r="D87" i="5" s="1"/>
  <c r="L139" i="5"/>
  <c r="D139" i="5" s="1"/>
  <c r="K78" i="5"/>
  <c r="S58" i="5"/>
  <c r="L106" i="5"/>
  <c r="D106" i="5" s="1"/>
  <c r="S72" i="5"/>
  <c r="K20" i="5"/>
  <c r="L75" i="5"/>
  <c r="D75" i="5" s="1"/>
  <c r="L125" i="5"/>
  <c r="D125" i="5" s="1"/>
  <c r="S67" i="5"/>
  <c r="S106" i="5"/>
  <c r="K33" i="5"/>
  <c r="L149" i="5"/>
  <c r="D149" i="5" s="1"/>
  <c r="K117" i="5"/>
  <c r="K142" i="5"/>
  <c r="K115" i="5"/>
  <c r="L61" i="5"/>
  <c r="D61" i="5" s="1"/>
  <c r="S117" i="5"/>
  <c r="K61" i="5"/>
  <c r="S80" i="5"/>
  <c r="K96" i="5"/>
  <c r="L34" i="5"/>
  <c r="D34" i="5" s="1"/>
  <c r="L121" i="5"/>
  <c r="D121" i="5" s="1"/>
  <c r="K126" i="5"/>
  <c r="L7" i="5"/>
  <c r="D7" i="5" s="1"/>
  <c r="S60" i="5"/>
  <c r="K2" i="5"/>
  <c r="L117" i="5"/>
  <c r="D117" i="5" s="1"/>
  <c r="E117" i="1" s="1"/>
  <c r="K4" i="5"/>
  <c r="K50" i="5"/>
  <c r="L63" i="5"/>
  <c r="D63" i="5" s="1"/>
  <c r="K22" i="5"/>
  <c r="L30" i="5"/>
  <c r="D30" i="5" s="1"/>
  <c r="L52" i="5"/>
  <c r="D52" i="5" s="1"/>
  <c r="S122" i="5"/>
  <c r="L64" i="5"/>
  <c r="D64" i="5" s="1"/>
  <c r="S128" i="5"/>
  <c r="L51" i="5"/>
  <c r="D51" i="5" s="1"/>
  <c r="L58" i="5"/>
  <c r="D58" i="5" s="1"/>
  <c r="E58" i="1" s="1"/>
  <c r="S97" i="5"/>
  <c r="L23" i="5"/>
  <c r="D23" i="5" s="1"/>
  <c r="S121" i="5"/>
  <c r="K30" i="5"/>
  <c r="L148" i="5"/>
  <c r="D148" i="5" s="1"/>
  <c r="K8" i="5"/>
  <c r="K44" i="5"/>
  <c r="S103" i="5"/>
  <c r="L95" i="5"/>
  <c r="D95" i="5" s="1"/>
  <c r="K119" i="5"/>
  <c r="L116" i="5"/>
  <c r="D116" i="5" s="1"/>
  <c r="L40" i="5"/>
  <c r="D40" i="5" s="1"/>
  <c r="L82" i="5"/>
  <c r="D82" i="5" s="1"/>
  <c r="S119" i="5"/>
  <c r="K87" i="5"/>
  <c r="S99" i="5"/>
  <c r="K97" i="5"/>
  <c r="K120" i="5"/>
  <c r="K98" i="5"/>
  <c r="S71" i="5"/>
  <c r="L60" i="5"/>
  <c r="D60" i="5" s="1"/>
  <c r="L71" i="5"/>
  <c r="D71" i="5" s="1"/>
  <c r="S79" i="5"/>
  <c r="K90" i="5"/>
  <c r="L132" i="5"/>
  <c r="D132" i="5" s="1"/>
  <c r="K65" i="5"/>
  <c r="L115" i="5"/>
  <c r="D115" i="5" s="1"/>
  <c r="K83" i="5"/>
  <c r="L127" i="5"/>
  <c r="D127" i="5" s="1"/>
  <c r="L92" i="5"/>
  <c r="D92" i="5" s="1"/>
  <c r="L136" i="5"/>
  <c r="D136" i="5" s="1"/>
  <c r="L21" i="5"/>
  <c r="D21" i="5" s="1"/>
  <c r="K60" i="5"/>
  <c r="K137" i="5"/>
  <c r="K122" i="5"/>
  <c r="K28" i="5"/>
  <c r="S95" i="5"/>
  <c r="L26" i="5"/>
  <c r="D26" i="5" s="1"/>
  <c r="L114" i="5"/>
  <c r="D114" i="5" s="1"/>
  <c r="L2" i="5"/>
  <c r="D2" i="5" s="1"/>
  <c r="L67" i="5"/>
  <c r="D67" i="5" s="1"/>
  <c r="L57" i="5"/>
  <c r="D57" i="5" s="1"/>
  <c r="D57" i="24" s="1"/>
  <c r="L50" i="5"/>
  <c r="D50" i="5" s="1"/>
  <c r="L151" i="5"/>
  <c r="D151" i="5" s="1"/>
  <c r="L88" i="5"/>
  <c r="D88" i="5" s="1"/>
  <c r="S126" i="5"/>
  <c r="S104" i="5"/>
  <c r="K109" i="5"/>
  <c r="L143" i="5"/>
  <c r="D143" i="5" s="1"/>
  <c r="E143" i="1" s="1"/>
  <c r="L28" i="5"/>
  <c r="D28" i="5" s="1"/>
  <c r="L49" i="5"/>
  <c r="D49" i="5" s="1"/>
  <c r="K25" i="5"/>
  <c r="L126" i="5"/>
  <c r="D126" i="5" s="1"/>
  <c r="K150" i="5"/>
  <c r="L97" i="5"/>
  <c r="D97" i="5" s="1"/>
  <c r="S85" i="5"/>
  <c r="S90" i="5"/>
  <c r="S113" i="5"/>
  <c r="L53" i="5"/>
  <c r="D53" i="5" s="1"/>
  <c r="L32" i="5"/>
  <c r="D32" i="5" s="1"/>
  <c r="K64" i="5"/>
  <c r="K118" i="5"/>
  <c r="K116" i="5"/>
  <c r="K12" i="5"/>
  <c r="S107" i="5"/>
  <c r="L85" i="5"/>
  <c r="D85" i="5" s="1"/>
  <c r="S137" i="5"/>
  <c r="K92" i="5"/>
  <c r="K72" i="5"/>
  <c r="S64" i="5"/>
  <c r="K74" i="5"/>
  <c r="S70" i="5"/>
  <c r="K6" i="5"/>
  <c r="K143" i="5"/>
  <c r="K141" i="5"/>
  <c r="L25" i="5"/>
  <c r="D25" i="5" s="1"/>
  <c r="L17" i="5"/>
  <c r="D17" i="5" s="1"/>
  <c r="L73" i="5"/>
  <c r="D73" i="5" s="1"/>
  <c r="K53" i="5"/>
  <c r="K100" i="5"/>
  <c r="K71" i="5"/>
  <c r="S87" i="5"/>
  <c r="L15" i="5"/>
  <c r="D15" i="5" s="1"/>
  <c r="L39" i="5"/>
  <c r="D39" i="5" s="1"/>
  <c r="K48" i="5"/>
  <c r="K88" i="5"/>
  <c r="K146" i="5"/>
  <c r="L74" i="5"/>
  <c r="D74" i="5" s="1"/>
  <c r="L79" i="5"/>
  <c r="D79" i="5" s="1"/>
  <c r="K52" i="5"/>
  <c r="S62" i="5"/>
  <c r="C93" i="5"/>
  <c r="C93" i="24" s="1"/>
  <c r="C102" i="5"/>
  <c r="D102" i="1" s="1"/>
  <c r="C117" i="5"/>
  <c r="C117" i="24" s="1"/>
  <c r="K21" i="5"/>
  <c r="K36" i="5"/>
  <c r="S98" i="5"/>
  <c r="L41" i="5"/>
  <c r="D41" i="5" s="1"/>
  <c r="L12" i="5"/>
  <c r="D12" i="5" s="1"/>
  <c r="L65" i="5"/>
  <c r="D65" i="5" s="1"/>
  <c r="S116" i="5"/>
  <c r="S86" i="5"/>
  <c r="S76" i="5"/>
  <c r="L103" i="5"/>
  <c r="D103" i="5" s="1"/>
  <c r="D103" i="24" s="1"/>
  <c r="L56" i="5"/>
  <c r="D56" i="5" s="1"/>
  <c r="E56" i="1" s="1"/>
  <c r="K23" i="5"/>
  <c r="K49" i="5"/>
  <c r="C17" i="5"/>
  <c r="D17" i="1" s="1"/>
  <c r="K80" i="5"/>
  <c r="C130" i="5"/>
  <c r="D130" i="1" s="1"/>
  <c r="S55" i="5"/>
  <c r="C128" i="5"/>
  <c r="D128" i="1" s="1"/>
  <c r="K125" i="5"/>
  <c r="C24" i="5"/>
  <c r="D24" i="1" s="1"/>
  <c r="C118" i="5"/>
  <c r="C118" i="24" s="1"/>
  <c r="C113" i="5"/>
  <c r="D113" i="1" s="1"/>
  <c r="S123" i="5"/>
  <c r="C68" i="5"/>
  <c r="D68" i="1" s="1"/>
  <c r="L105" i="5"/>
  <c r="D105" i="5" s="1"/>
  <c r="L108" i="5"/>
  <c r="D108" i="5" s="1"/>
  <c r="L107" i="5"/>
  <c r="D107" i="5" s="1"/>
  <c r="K105" i="5"/>
  <c r="L137" i="5"/>
  <c r="D137" i="5" s="1"/>
  <c r="K38" i="5"/>
  <c r="C101" i="5"/>
  <c r="D101" i="1" s="1"/>
  <c r="L138" i="5"/>
  <c r="D138" i="5" s="1"/>
  <c r="K55" i="5"/>
  <c r="K46" i="5"/>
  <c r="S49" i="5"/>
  <c r="C86" i="5"/>
  <c r="C86" i="24" s="1"/>
  <c r="K84" i="5"/>
  <c r="K54" i="5"/>
  <c r="L98" i="5"/>
  <c r="D98" i="5" s="1"/>
  <c r="L18" i="5"/>
  <c r="D18" i="5" s="1"/>
  <c r="D18" i="24" s="1"/>
  <c r="K51" i="5"/>
  <c r="K113" i="5"/>
  <c r="L128" i="5"/>
  <c r="D128" i="5" s="1"/>
  <c r="E128" i="1" s="1"/>
  <c r="C54" i="5"/>
  <c r="C54" i="24" s="1"/>
  <c r="F69" i="1"/>
  <c r="C144" i="5"/>
  <c r="D144" i="1" s="1"/>
  <c r="L129" i="5"/>
  <c r="D129" i="5" s="1"/>
  <c r="S63" i="5"/>
  <c r="K69" i="5"/>
  <c r="K138" i="5"/>
  <c r="S102" i="5"/>
  <c r="K14" i="5"/>
  <c r="K68" i="5"/>
  <c r="L45" i="5"/>
  <c r="D45" i="5" s="1"/>
  <c r="E45" i="1" s="1"/>
  <c r="K45" i="5"/>
  <c r="C27" i="5"/>
  <c r="D27" i="1" s="1"/>
  <c r="S133" i="5"/>
  <c r="L14" i="5"/>
  <c r="D14" i="5" s="1"/>
  <c r="D14" i="24" s="1"/>
  <c r="K47" i="5"/>
  <c r="L84" i="5"/>
  <c r="D84" i="5" s="1"/>
  <c r="E84" i="1" s="1"/>
  <c r="K86" i="5"/>
  <c r="K5" i="5"/>
  <c r="L113" i="5"/>
  <c r="D113" i="5" s="1"/>
  <c r="E113" i="1" s="1"/>
  <c r="C47" i="5"/>
  <c r="C47" i="24" s="1"/>
  <c r="AB73" i="5"/>
  <c r="AB25" i="5"/>
  <c r="AB64" i="5"/>
  <c r="AB138" i="5"/>
  <c r="AB4" i="5"/>
  <c r="AB130" i="5"/>
  <c r="AB18" i="5"/>
  <c r="AB49" i="5"/>
  <c r="AB9" i="5"/>
  <c r="AB16" i="5"/>
  <c r="AB5" i="5"/>
  <c r="AB151" i="5"/>
  <c r="AB111" i="5"/>
  <c r="AB116" i="5"/>
  <c r="AB123" i="5"/>
  <c r="AB80" i="5"/>
  <c r="AB117" i="5"/>
  <c r="AB122" i="5"/>
  <c r="AB82" i="5"/>
  <c r="AB112" i="5"/>
  <c r="AB77" i="5"/>
  <c r="F100" i="1"/>
  <c r="AB102" i="5"/>
  <c r="AB44" i="5"/>
  <c r="AB118" i="5"/>
  <c r="AB19" i="5"/>
  <c r="AB144" i="5"/>
  <c r="AB104" i="5"/>
  <c r="AB45" i="5"/>
  <c r="AB46" i="5"/>
  <c r="C41" i="5"/>
  <c r="D41" i="1" s="1"/>
  <c r="C35" i="5"/>
  <c r="C35" i="24" s="1"/>
  <c r="L38" i="5"/>
  <c r="D38" i="5" s="1"/>
  <c r="E38" i="1" s="1"/>
  <c r="L68" i="5"/>
  <c r="D68" i="5" s="1"/>
  <c r="D68" i="24" s="1"/>
  <c r="C103" i="5"/>
  <c r="D103" i="1" s="1"/>
  <c r="C116" i="5"/>
  <c r="C116" i="24" s="1"/>
  <c r="AB110" i="5"/>
  <c r="AB40" i="5"/>
  <c r="AB75" i="5"/>
  <c r="AB21" i="5"/>
  <c r="AB52" i="5"/>
  <c r="AB134" i="5"/>
  <c r="AB55" i="5"/>
  <c r="AB126" i="5"/>
  <c r="AB78" i="5"/>
  <c r="AB125" i="5"/>
  <c r="AB140" i="5"/>
  <c r="AB121" i="5"/>
  <c r="AB81" i="5"/>
  <c r="AB115" i="5"/>
  <c r="AB11" i="5"/>
  <c r="F105" i="1"/>
  <c r="AB58" i="5"/>
  <c r="AB32" i="5"/>
  <c r="AB10" i="5"/>
  <c r="AB101" i="5"/>
  <c r="AB146" i="5"/>
  <c r="F114" i="1"/>
  <c r="F59" i="1"/>
  <c r="F64" i="1"/>
  <c r="F57" i="1"/>
  <c r="F80" i="1"/>
  <c r="K128" i="5"/>
  <c r="L86" i="5"/>
  <c r="D86" i="5" s="1"/>
  <c r="E86" i="1" s="1"/>
  <c r="L27" i="5"/>
  <c r="D27" i="5" s="1"/>
  <c r="E27" i="1" s="1"/>
  <c r="C38" i="5"/>
  <c r="D38" i="1" s="1"/>
  <c r="C145" i="5"/>
  <c r="D145" i="1" s="1"/>
  <c r="F74" i="1"/>
  <c r="L130" i="5"/>
  <c r="D130" i="5" s="1"/>
  <c r="E130" i="1" s="1"/>
  <c r="K130" i="5"/>
  <c r="C14" i="5"/>
  <c r="D14" i="1" s="1"/>
  <c r="C45" i="5"/>
  <c r="D45" i="1" s="1"/>
  <c r="C57" i="5"/>
  <c r="D57" i="1" s="1"/>
  <c r="F94" i="1"/>
  <c r="F21" i="1"/>
  <c r="C140" i="5"/>
  <c r="D140" i="1" s="1"/>
  <c r="F92" i="1"/>
  <c r="C143" i="5"/>
  <c r="D143" i="1" s="1"/>
  <c r="K76" i="5"/>
  <c r="L47" i="5"/>
  <c r="D47" i="5" s="1"/>
  <c r="E47" i="1" s="1"/>
  <c r="K140" i="5"/>
  <c r="K18" i="5"/>
  <c r="F6" i="1"/>
  <c r="F67" i="1"/>
  <c r="C18" i="5"/>
  <c r="D18" i="1" s="1"/>
  <c r="F38" i="1"/>
  <c r="F131" i="1"/>
  <c r="F40" i="1"/>
  <c r="C58" i="5"/>
  <c r="C58" i="24" s="1"/>
  <c r="F76" i="1"/>
  <c r="F141" i="1"/>
  <c r="L140" i="5"/>
  <c r="D140" i="5" s="1"/>
  <c r="E140" i="1" s="1"/>
  <c r="L76" i="5"/>
  <c r="D76" i="5" s="1"/>
  <c r="E76" i="1" s="1"/>
  <c r="K27" i="5"/>
  <c r="C56" i="5"/>
  <c r="C56" i="24" s="1"/>
  <c r="F28" i="1"/>
  <c r="F52" i="1"/>
  <c r="F8" i="1"/>
  <c r="F107" i="1"/>
  <c r="F151" i="1"/>
  <c r="F102" i="1"/>
  <c r="F25" i="1"/>
  <c r="F35" i="1"/>
  <c r="F90" i="1"/>
  <c r="F115" i="1"/>
  <c r="F23" i="1"/>
  <c r="F145" i="1"/>
  <c r="F37" i="1"/>
  <c r="F2" i="1"/>
  <c r="F91" i="1"/>
  <c r="F48" i="1"/>
  <c r="F7" i="1"/>
  <c r="F44" i="1"/>
  <c r="F117" i="1"/>
  <c r="F4" i="1"/>
  <c r="F93" i="1"/>
  <c r="F34" i="1"/>
  <c r="F72" i="1"/>
  <c r="F66" i="1"/>
  <c r="F77" i="1"/>
  <c r="F143" i="1"/>
  <c r="F82" i="1"/>
  <c r="F65" i="1"/>
  <c r="F31" i="1"/>
  <c r="F18" i="1"/>
  <c r="F61" i="1"/>
  <c r="F68" i="1"/>
  <c r="F22" i="1"/>
  <c r="F10" i="1"/>
  <c r="F104" i="1"/>
  <c r="F129" i="1"/>
  <c r="F49" i="1"/>
  <c r="F85" i="1"/>
  <c r="F149" i="1"/>
  <c r="F78" i="1"/>
  <c r="F84" i="1"/>
  <c r="F24" i="1"/>
  <c r="F32" i="1"/>
  <c r="AC104" i="5"/>
  <c r="F26" i="1"/>
  <c r="F87" i="1"/>
  <c r="F138" i="1"/>
  <c r="F51" i="1"/>
  <c r="AC87" i="5"/>
  <c r="F120" i="1"/>
  <c r="F134" i="1"/>
  <c r="F39" i="1"/>
  <c r="F124" i="1"/>
  <c r="F73" i="1"/>
  <c r="F103" i="1"/>
  <c r="F137" i="1"/>
  <c r="AC55" i="5"/>
  <c r="F147" i="1"/>
  <c r="F148" i="1"/>
  <c r="F150" i="1"/>
  <c r="F47" i="1"/>
  <c r="F11" i="1"/>
  <c r="F116" i="1"/>
  <c r="F70" i="1"/>
  <c r="AC21" i="5"/>
  <c r="F62" i="1"/>
  <c r="F96" i="1"/>
  <c r="F41" i="1"/>
  <c r="F119" i="1"/>
  <c r="F108" i="1"/>
  <c r="AC89" i="5"/>
  <c r="AC137" i="5"/>
  <c r="F20" i="1"/>
  <c r="F46" i="1"/>
  <c r="F45" i="1"/>
  <c r="F139" i="1"/>
  <c r="AC95" i="5"/>
  <c r="AC45" i="5"/>
  <c r="F101" i="1"/>
  <c r="F118" i="1"/>
  <c r="F13" i="1"/>
  <c r="F9" i="1"/>
  <c r="F12" i="1"/>
  <c r="F111" i="1"/>
  <c r="AC139" i="5"/>
  <c r="AC18" i="5"/>
  <c r="F53" i="1"/>
  <c r="F19" i="1"/>
  <c r="F89" i="1"/>
  <c r="F113" i="1"/>
  <c r="AC81" i="5"/>
  <c r="AC138" i="5"/>
  <c r="AC141" i="5"/>
  <c r="AC20" i="5"/>
  <c r="AC22" i="5"/>
  <c r="AC140" i="5"/>
  <c r="F27" i="1"/>
  <c r="F135" i="1"/>
  <c r="F33" i="1"/>
  <c r="F132" i="1"/>
  <c r="F54" i="1"/>
  <c r="F83" i="1"/>
  <c r="F79" i="1"/>
  <c r="F122" i="1"/>
  <c r="F106" i="1"/>
  <c r="F63" i="1"/>
  <c r="AC142" i="5"/>
  <c r="F130" i="1"/>
  <c r="AC98" i="5"/>
  <c r="F136" i="1"/>
  <c r="AC26" i="5"/>
  <c r="AC80" i="5"/>
  <c r="F125" i="1"/>
  <c r="F123" i="1"/>
  <c r="F110" i="1"/>
  <c r="AC123" i="5"/>
  <c r="AC134" i="5"/>
  <c r="F60" i="1"/>
  <c r="F146" i="1"/>
  <c r="F15" i="1"/>
  <c r="F142" i="1"/>
  <c r="F127" i="1"/>
  <c r="AC44" i="5"/>
  <c r="AC74" i="5"/>
  <c r="AC9" i="5"/>
  <c r="F86" i="1"/>
  <c r="AC63" i="5"/>
  <c r="AC79" i="5"/>
  <c r="F126" i="1"/>
  <c r="F98" i="1"/>
  <c r="F75" i="1"/>
  <c r="AC65" i="5"/>
  <c r="AC56" i="5"/>
  <c r="AC133" i="5"/>
  <c r="AC27" i="5"/>
  <c r="AC111" i="5"/>
  <c r="F50" i="1"/>
  <c r="AC60" i="5"/>
  <c r="F81" i="1"/>
  <c r="AC48" i="5"/>
  <c r="AC114" i="5"/>
  <c r="AC78" i="5"/>
  <c r="F95" i="1"/>
  <c r="F97" i="1"/>
  <c r="AC129" i="5"/>
  <c r="F30" i="1"/>
  <c r="AC36" i="5"/>
  <c r="AC120" i="5"/>
  <c r="AC110" i="5"/>
  <c r="AC130" i="5"/>
  <c r="AC47" i="5"/>
  <c r="F3" i="1"/>
  <c r="F29" i="1"/>
  <c r="AC34" i="5"/>
  <c r="AC90" i="5"/>
  <c r="AC49" i="5"/>
  <c r="AC8" i="5"/>
  <c r="AC108" i="5"/>
  <c r="F140" i="1"/>
  <c r="AC30" i="5"/>
  <c r="AC50" i="5"/>
  <c r="AC51" i="5"/>
  <c r="F109" i="1"/>
  <c r="AC69" i="5"/>
  <c r="F36" i="1"/>
  <c r="AC40" i="5"/>
  <c r="AC109" i="5"/>
  <c r="AC52" i="5"/>
  <c r="AC150" i="5"/>
  <c r="AC32" i="5"/>
  <c r="AC101" i="5"/>
  <c r="AC119" i="5"/>
  <c r="AC73" i="5"/>
  <c r="AC107" i="5"/>
  <c r="AC58" i="5"/>
  <c r="AC97" i="5"/>
  <c r="AC75" i="5"/>
  <c r="F133" i="1"/>
  <c r="AC83" i="5"/>
  <c r="AC13" i="5"/>
  <c r="AC38" i="5"/>
  <c r="AC112" i="5"/>
  <c r="AC77" i="5"/>
  <c r="AC35" i="5"/>
  <c r="AC64" i="5"/>
  <c r="AC66" i="5"/>
  <c r="AC100" i="5"/>
  <c r="AC128" i="5"/>
  <c r="F16" i="1"/>
  <c r="AC147" i="5"/>
  <c r="AC6" i="5"/>
  <c r="AC3" i="5"/>
  <c r="AC16" i="5"/>
  <c r="AC70" i="5"/>
  <c r="AC135" i="5"/>
  <c r="F43" i="1"/>
  <c r="F144" i="1"/>
  <c r="F17" i="1"/>
  <c r="AC131" i="5"/>
  <c r="AC53" i="5"/>
  <c r="AC12" i="5"/>
  <c r="AC68" i="5"/>
  <c r="F42" i="1"/>
  <c r="F58" i="1"/>
  <c r="AC96" i="5"/>
  <c r="AC28" i="5"/>
  <c r="AC88" i="5"/>
  <c r="AC91" i="5"/>
  <c r="AC39" i="5"/>
  <c r="AC115" i="5"/>
  <c r="AC10" i="5"/>
  <c r="F55" i="1"/>
  <c r="F112" i="1"/>
  <c r="AC94" i="5"/>
  <c r="F128" i="1"/>
  <c r="AC29" i="5"/>
  <c r="AC23" i="5"/>
  <c r="AC76" i="5"/>
  <c r="AC124" i="5"/>
  <c r="AC148" i="5"/>
  <c r="AC2" i="5"/>
  <c r="AC92" i="5"/>
  <c r="F99" i="1"/>
  <c r="F5" i="1"/>
  <c r="AC136" i="5"/>
  <c r="AC149" i="5"/>
  <c r="AC84" i="5"/>
  <c r="AC11" i="5"/>
  <c r="AC82" i="5"/>
  <c r="AC117" i="5"/>
  <c r="F14" i="1"/>
  <c r="F121" i="1"/>
  <c r="F56" i="1"/>
  <c r="AC113" i="5"/>
  <c r="AC145" i="5"/>
  <c r="AC41" i="5"/>
  <c r="AC59" i="5"/>
  <c r="AC143" i="5"/>
  <c r="AC106" i="5"/>
  <c r="AC116" i="5"/>
  <c r="F88" i="1"/>
  <c r="AC31" i="5"/>
  <c r="AC25" i="5"/>
  <c r="AC102" i="5"/>
  <c r="AC151" i="5"/>
  <c r="AC4" i="5"/>
  <c r="AC54" i="5"/>
  <c r="AC61" i="5"/>
  <c r="AC103" i="5"/>
  <c r="AC144" i="5"/>
  <c r="AC121" i="5"/>
  <c r="AC33" i="5"/>
  <c r="AC67" i="5"/>
  <c r="AC43" i="5"/>
  <c r="AC42" i="5"/>
  <c r="AC37" i="5"/>
  <c r="AC105" i="5"/>
  <c r="AC57" i="5"/>
  <c r="AC86" i="5"/>
  <c r="AC99" i="5"/>
  <c r="F71" i="1"/>
  <c r="AC126" i="5"/>
  <c r="D5" i="6"/>
  <c r="AC15" i="5"/>
  <c r="AC85" i="5"/>
  <c r="AC71" i="5"/>
  <c r="AC122" i="5"/>
  <c r="AC7" i="5"/>
  <c r="AC19" i="5"/>
  <c r="AC146" i="5"/>
  <c r="AC62" i="5"/>
  <c r="AC24" i="5"/>
  <c r="AC93" i="5"/>
  <c r="AC125" i="5"/>
  <c r="AC14" i="5"/>
  <c r="AC17" i="5"/>
  <c r="AC72" i="5"/>
  <c r="AC132" i="5"/>
  <c r="AC118" i="5"/>
  <c r="AC127" i="5"/>
  <c r="E4" i="6"/>
  <c r="H3" i="6" s="1"/>
  <c r="K3" i="6" s="1"/>
  <c r="AC5" i="5"/>
  <c r="AC46" i="5"/>
  <c r="E6" i="6"/>
  <c r="J3" i="6" s="1"/>
  <c r="M3" i="6" s="1"/>
  <c r="D6" i="6"/>
  <c r="E5" i="6"/>
  <c r="I3" i="6" s="1"/>
  <c r="L3" i="6" s="1"/>
  <c r="D4" i="6"/>
  <c r="P54" i="22"/>
  <c r="J5" i="3"/>
  <c r="S6" i="5"/>
  <c r="J8" i="3"/>
  <c r="J6" i="3"/>
  <c r="J9" i="3"/>
  <c r="J68" i="3"/>
  <c r="J103" i="3"/>
  <c r="J7" i="3"/>
  <c r="J118" i="3" l="1"/>
  <c r="C112" i="24"/>
  <c r="J111" i="3"/>
  <c r="J80" i="3"/>
  <c r="J70" i="3"/>
  <c r="J127" i="3"/>
  <c r="J55" i="3"/>
  <c r="J31" i="3"/>
  <c r="J84" i="3"/>
  <c r="J30" i="3"/>
  <c r="J105" i="3"/>
  <c r="J60" i="3"/>
  <c r="J41" i="3"/>
  <c r="J90" i="3"/>
  <c r="J91" i="3"/>
  <c r="J131" i="3"/>
  <c r="J36" i="3"/>
  <c r="J44" i="3"/>
  <c r="J94" i="3"/>
  <c r="J104" i="3"/>
  <c r="J98" i="3"/>
  <c r="J82" i="3"/>
  <c r="J23" i="3"/>
  <c r="J119" i="3"/>
  <c r="J109" i="3"/>
  <c r="J24" i="3"/>
  <c r="J138" i="3"/>
  <c r="J16" i="3"/>
  <c r="J14" i="3"/>
  <c r="J65" i="3"/>
  <c r="J75" i="3"/>
  <c r="J45" i="3"/>
  <c r="J108" i="3"/>
  <c r="J28" i="3"/>
  <c r="J59" i="3"/>
  <c r="J47" i="3"/>
  <c r="J39" i="3"/>
  <c r="J139" i="3"/>
  <c r="J74" i="3"/>
  <c r="J110" i="3"/>
  <c r="J121" i="3"/>
  <c r="J40" i="3"/>
  <c r="J10" i="3"/>
  <c r="J49" i="3"/>
  <c r="J13" i="3"/>
  <c r="J123" i="3"/>
  <c r="J42" i="3"/>
  <c r="D91" i="1"/>
  <c r="J71" i="3"/>
  <c r="J56" i="3"/>
  <c r="J99" i="3"/>
  <c r="J114" i="3"/>
  <c r="J116" i="3"/>
  <c r="J67" i="3"/>
  <c r="J54" i="3"/>
  <c r="J129" i="3"/>
  <c r="C150" i="24"/>
  <c r="C135" i="24"/>
  <c r="D111" i="1"/>
  <c r="C87" i="24"/>
  <c r="D62" i="1"/>
  <c r="C126" i="24"/>
  <c r="D6" i="1"/>
  <c r="D100" i="1"/>
  <c r="D115" i="1"/>
  <c r="C51" i="24"/>
  <c r="D81" i="1"/>
  <c r="C8" i="24"/>
  <c r="C66" i="24"/>
  <c r="D127" i="1"/>
  <c r="D109" i="1"/>
  <c r="C44" i="24"/>
  <c r="D123" i="1"/>
  <c r="D136" i="1"/>
  <c r="C134" i="24"/>
  <c r="D77" i="1"/>
  <c r="D55" i="1"/>
  <c r="C138" i="24"/>
  <c r="C142" i="24"/>
  <c r="D7" i="1"/>
  <c r="C19" i="24"/>
  <c r="C26" i="24"/>
  <c r="C108" i="24"/>
  <c r="C21" i="24"/>
  <c r="D132" i="1"/>
  <c r="C63" i="24"/>
  <c r="C11" i="24"/>
  <c r="D34" i="1"/>
  <c r="C119" i="24"/>
  <c r="D22" i="1"/>
  <c r="C10" i="24"/>
  <c r="C141" i="24"/>
  <c r="C30" i="24"/>
  <c r="C129" i="24"/>
  <c r="C133" i="24"/>
  <c r="D83" i="1"/>
  <c r="C72" i="24"/>
  <c r="C50" i="24"/>
  <c r="D124" i="1"/>
  <c r="C121" i="24"/>
  <c r="C78" i="24"/>
  <c r="C37" i="24"/>
  <c r="C42" i="24"/>
  <c r="C39" i="24"/>
  <c r="J113" i="3"/>
  <c r="J69" i="3"/>
  <c r="J130" i="3"/>
  <c r="J78" i="3"/>
  <c r="J97" i="3"/>
  <c r="J34" i="3"/>
  <c r="J77" i="3"/>
  <c r="J26" i="3"/>
  <c r="J21" i="3"/>
  <c r="J11" i="3"/>
  <c r="J73" i="3"/>
  <c r="J102" i="3"/>
  <c r="J32" i="3"/>
  <c r="J63" i="3"/>
  <c r="J107" i="3"/>
  <c r="J86" i="3"/>
  <c r="J66" i="3"/>
  <c r="J72" i="3"/>
  <c r="J128" i="3"/>
  <c r="J87" i="3"/>
  <c r="J106" i="3"/>
  <c r="J100" i="3"/>
  <c r="J96" i="3"/>
  <c r="J43" i="3"/>
  <c r="J81" i="3"/>
  <c r="J95" i="3"/>
  <c r="J17" i="3"/>
  <c r="J89" i="3"/>
  <c r="J57" i="3"/>
  <c r="J125" i="3"/>
  <c r="J133" i="3"/>
  <c r="J33" i="3"/>
  <c r="J120" i="3"/>
  <c r="J18" i="3"/>
  <c r="J92" i="3"/>
  <c r="J62" i="3"/>
  <c r="J35" i="3"/>
  <c r="J132" i="3"/>
  <c r="J15" i="3"/>
  <c r="J12" i="3"/>
  <c r="J37" i="3"/>
  <c r="J58" i="3"/>
  <c r="J76" i="3"/>
  <c r="J50" i="3"/>
  <c r="J53" i="3"/>
  <c r="J115" i="3"/>
  <c r="J27" i="3"/>
  <c r="J29" i="3"/>
  <c r="J85" i="3"/>
  <c r="J124" i="3"/>
  <c r="J136" i="3"/>
  <c r="J122" i="3"/>
  <c r="J22" i="3"/>
  <c r="J83" i="3"/>
  <c r="J137" i="3"/>
  <c r="J20" i="3"/>
  <c r="J88" i="3"/>
  <c r="J117" i="3"/>
  <c r="J79" i="3"/>
  <c r="J46" i="3"/>
  <c r="J64" i="3"/>
  <c r="J135" i="3"/>
  <c r="J101" i="3"/>
  <c r="J38" i="3"/>
  <c r="J93" i="3"/>
  <c r="J112" i="3"/>
  <c r="J51" i="3"/>
  <c r="J126" i="3"/>
  <c r="J48" i="3"/>
  <c r="J52" i="3"/>
  <c r="J134" i="3"/>
  <c r="J61" i="3"/>
  <c r="J25" i="3"/>
  <c r="J19" i="3"/>
  <c r="C107" i="24"/>
  <c r="D151" i="1"/>
  <c r="R20" i="34"/>
  <c r="D40" i="1"/>
  <c r="C114" i="24"/>
  <c r="D52" i="1"/>
  <c r="C147" i="24"/>
  <c r="D12" i="1"/>
  <c r="C88" i="24"/>
  <c r="D48" i="1"/>
  <c r="D79" i="1"/>
  <c r="C46" i="24"/>
  <c r="C61" i="24"/>
  <c r="D92" i="1"/>
  <c r="C96" i="24"/>
  <c r="D25" i="1"/>
  <c r="D67" i="1"/>
  <c r="C49" i="24"/>
  <c r="C122" i="24"/>
  <c r="C98" i="24"/>
  <c r="D15" i="1"/>
  <c r="C13" i="24"/>
  <c r="D20" i="1"/>
  <c r="N19" i="34"/>
  <c r="C70" i="24"/>
  <c r="D23" i="1"/>
  <c r="C105" i="24"/>
  <c r="C75" i="24"/>
  <c r="C146" i="24"/>
  <c r="C120" i="24"/>
  <c r="C65" i="24"/>
  <c r="C97" i="24"/>
  <c r="C60" i="24"/>
  <c r="C36" i="24"/>
  <c r="D82" i="1"/>
  <c r="C95" i="24"/>
  <c r="C99" i="24"/>
  <c r="C110" i="24"/>
  <c r="D9" i="1"/>
  <c r="O17" i="6"/>
  <c r="D104" i="1"/>
  <c r="C29" i="24"/>
  <c r="C80" i="24"/>
  <c r="C137" i="24"/>
  <c r="W27" i="1"/>
  <c r="D53" i="1"/>
  <c r="C31" i="24"/>
  <c r="D73" i="1"/>
  <c r="D32" i="1"/>
  <c r="D2" i="1"/>
  <c r="C64" i="24"/>
  <c r="C74" i="24"/>
  <c r="D43" i="1"/>
  <c r="C3" i="24"/>
  <c r="C89" i="24"/>
  <c r="D28" i="55"/>
  <c r="D21" i="55"/>
  <c r="D8" i="55"/>
  <c r="C4" i="24"/>
  <c r="P17" i="6"/>
  <c r="D94" i="1"/>
  <c r="D28" i="1"/>
  <c r="D149" i="1"/>
  <c r="C84" i="24"/>
  <c r="D118" i="24"/>
  <c r="M24" i="6"/>
  <c r="P24" i="6" s="1"/>
  <c r="J10" i="6"/>
  <c r="I10" i="6"/>
  <c r="L31" i="6"/>
  <c r="N31" i="6"/>
  <c r="Q31" i="6" s="1"/>
  <c r="L24" i="6"/>
  <c r="O24" i="6" s="1"/>
  <c r="N24" i="6"/>
  <c r="Q24" i="6" s="1"/>
  <c r="N17" i="6"/>
  <c r="Q17" i="6" s="1"/>
  <c r="C106" i="24"/>
  <c r="M31" i="6"/>
  <c r="P31" i="6" s="1"/>
  <c r="C85" i="24"/>
  <c r="C59" i="24"/>
  <c r="D41" i="55"/>
  <c r="D34" i="55"/>
  <c r="R19" i="34"/>
  <c r="D33" i="1"/>
  <c r="C71" i="24"/>
  <c r="D22" i="55"/>
  <c r="D48" i="55"/>
  <c r="D15" i="55"/>
  <c r="D50" i="55"/>
  <c r="C5" i="24"/>
  <c r="D36" i="55"/>
  <c r="D29" i="55"/>
  <c r="D102" i="24"/>
  <c r="D43" i="55"/>
  <c r="C69" i="24"/>
  <c r="C90" i="24"/>
  <c r="D131" i="1"/>
  <c r="C139" i="24"/>
  <c r="C125" i="24"/>
  <c r="C76" i="24"/>
  <c r="D148" i="1"/>
  <c r="D35" i="55"/>
  <c r="D42" i="55"/>
  <c r="D7" i="55"/>
  <c r="D49" i="55"/>
  <c r="D14" i="55"/>
  <c r="D6" i="55"/>
  <c r="C16" i="24"/>
  <c r="D145" i="24"/>
  <c r="D93" i="1"/>
  <c r="D58" i="24"/>
  <c r="D144" i="24"/>
  <c r="D118" i="1"/>
  <c r="C130" i="24"/>
  <c r="C128" i="24"/>
  <c r="D117" i="1"/>
  <c r="E57" i="1"/>
  <c r="X57" i="1" s="1"/>
  <c r="Z20" i="1" s="1"/>
  <c r="AC20" i="1" s="1"/>
  <c r="D101" i="24"/>
  <c r="D143" i="24"/>
  <c r="C102" i="24"/>
  <c r="D128" i="24"/>
  <c r="D117" i="24"/>
  <c r="E103" i="1"/>
  <c r="X103" i="1" s="1"/>
  <c r="AA35" i="1" s="1"/>
  <c r="AD35" i="1" s="1"/>
  <c r="X128" i="1"/>
  <c r="Y44" i="1" s="1"/>
  <c r="AB44" i="1" s="1"/>
  <c r="C68" i="24"/>
  <c r="C24" i="24"/>
  <c r="D86" i="1"/>
  <c r="D56" i="24"/>
  <c r="D20" i="55"/>
  <c r="C17" i="24"/>
  <c r="C113" i="24"/>
  <c r="E18" i="1"/>
  <c r="X18" i="1" s="1"/>
  <c r="Z7" i="1" s="1"/>
  <c r="AC7" i="1" s="1"/>
  <c r="D84" i="24"/>
  <c r="D13" i="55"/>
  <c r="D54" i="1"/>
  <c r="C101" i="24"/>
  <c r="D130" i="24"/>
  <c r="D45" i="24"/>
  <c r="N20" i="34"/>
  <c r="D35" i="1"/>
  <c r="D27" i="55"/>
  <c r="C45" i="24"/>
  <c r="D116" i="1"/>
  <c r="C103" i="24"/>
  <c r="E14" i="1"/>
  <c r="X14" i="1" s="1"/>
  <c r="Y6" i="1" s="1"/>
  <c r="C144" i="24"/>
  <c r="E68" i="1"/>
  <c r="X68" i="1" s="1"/>
  <c r="Y24" i="1" s="1"/>
  <c r="D47" i="1"/>
  <c r="C27" i="24"/>
  <c r="C143" i="24"/>
  <c r="W39" i="1"/>
  <c r="D113" i="24"/>
  <c r="X38" i="1"/>
  <c r="Y14" i="1" s="1"/>
  <c r="AB14" i="1" s="1"/>
  <c r="D38" i="24"/>
  <c r="X86" i="1"/>
  <c r="Y30" i="1" s="1"/>
  <c r="AB30" i="1" s="1"/>
  <c r="D86" i="24"/>
  <c r="C41" i="24"/>
  <c r="D140" i="24"/>
  <c r="W22" i="1"/>
  <c r="C145" i="24"/>
  <c r="C38" i="24"/>
  <c r="C18" i="24"/>
  <c r="D58" i="1"/>
  <c r="C14" i="24"/>
  <c r="D47" i="24"/>
  <c r="X113" i="1"/>
  <c r="Y39" i="1" s="1"/>
  <c r="AB39" i="1" s="1"/>
  <c r="D27" i="24"/>
  <c r="C57" i="24"/>
  <c r="C140" i="24"/>
  <c r="W32" i="1"/>
  <c r="W26" i="1"/>
  <c r="W3" i="1"/>
  <c r="D76" i="24"/>
  <c r="W14" i="1"/>
  <c r="W13" i="1"/>
  <c r="D56" i="1"/>
  <c r="W28" i="1"/>
  <c r="W49" i="1"/>
  <c r="W2" i="1"/>
  <c r="AK2" i="1" s="1"/>
  <c r="W31" i="1"/>
  <c r="X140" i="1"/>
  <c r="Y48" i="1" s="1"/>
  <c r="AB48" i="1" s="1"/>
  <c r="W35" i="1"/>
  <c r="W36" i="1"/>
  <c r="W9" i="1"/>
  <c r="W18" i="1"/>
  <c r="W8" i="1"/>
  <c r="W23" i="1"/>
  <c r="W4" i="1"/>
  <c r="W21" i="1"/>
  <c r="W24" i="1"/>
  <c r="W17" i="1"/>
  <c r="W25" i="1"/>
  <c r="W12" i="1"/>
  <c r="W29" i="1"/>
  <c r="W10" i="1"/>
  <c r="W51" i="1"/>
  <c r="W37" i="1"/>
  <c r="W40" i="1"/>
  <c r="W47" i="1"/>
  <c r="W41" i="1"/>
  <c r="W5" i="1"/>
  <c r="W7" i="1"/>
  <c r="W16" i="1"/>
  <c r="W50" i="1"/>
  <c r="AK53" i="1"/>
  <c r="W6" i="1"/>
  <c r="W42" i="1"/>
  <c r="W44" i="1"/>
  <c r="AK44" i="1" s="1"/>
  <c r="W15" i="1"/>
  <c r="W46" i="1"/>
  <c r="W45" i="1"/>
  <c r="W30" i="1"/>
  <c r="W43" i="1"/>
  <c r="W34" i="1"/>
  <c r="W38" i="1"/>
  <c r="W48" i="1"/>
  <c r="W19" i="1"/>
  <c r="W33" i="1"/>
  <c r="W20" i="1"/>
  <c r="AK52" i="1"/>
  <c r="W11" i="1"/>
  <c r="P3" i="6"/>
  <c r="O3" i="6"/>
  <c r="N3" i="6"/>
  <c r="Q3" i="6" s="1"/>
  <c r="X118" i="1"/>
  <c r="AA40" i="1" s="1"/>
  <c r="AD40" i="1" s="1"/>
  <c r="X117" i="1"/>
  <c r="Z40" i="1" s="1"/>
  <c r="AC40" i="1" s="1"/>
  <c r="X144" i="1"/>
  <c r="Z49" i="1" s="1"/>
  <c r="AC49" i="1" s="1"/>
  <c r="X145" i="1"/>
  <c r="AA49" i="1" s="1"/>
  <c r="AD49" i="1" s="1"/>
  <c r="X143" i="1"/>
  <c r="Y49" i="1" s="1"/>
  <c r="AB49" i="1" s="1"/>
  <c r="X101" i="1"/>
  <c r="Y35" i="1" s="1"/>
  <c r="AB35" i="1" s="1"/>
  <c r="X102" i="1"/>
  <c r="Z35" i="1" s="1"/>
  <c r="AC35" i="1" s="1"/>
  <c r="X58" i="1"/>
  <c r="AA20" i="1" s="1"/>
  <c r="AD20" i="1" s="1"/>
  <c r="X56" i="1"/>
  <c r="Y20" i="1" s="1"/>
  <c r="AB20"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E116" i="1"/>
  <c r="D116" i="24"/>
  <c r="E21" i="55"/>
  <c r="F21" i="55" s="1"/>
  <c r="J19" i="55" s="1"/>
  <c r="E35" i="55"/>
  <c r="F35" i="55" s="1"/>
  <c r="J33" i="55" s="1"/>
  <c r="E28" i="55"/>
  <c r="F28" i="55" s="1"/>
  <c r="J26" i="55" s="1"/>
  <c r="E14" i="55"/>
  <c r="F14" i="55" s="1"/>
  <c r="J12" i="55" s="1"/>
  <c r="E42" i="55"/>
  <c r="F42" i="55" s="1"/>
  <c r="J40" i="55" s="1"/>
  <c r="E7" i="55"/>
  <c r="F7" i="55" s="1"/>
  <c r="J5" i="55" s="1"/>
  <c r="E49" i="55"/>
  <c r="F49" i="55" s="1"/>
  <c r="J47" i="55" s="1"/>
  <c r="E85" i="1"/>
  <c r="D85" i="24"/>
  <c r="E79" i="1"/>
  <c r="D79" i="24"/>
  <c r="E54" i="1"/>
  <c r="D54" i="24"/>
  <c r="E132" i="1"/>
  <c r="D132" i="24"/>
  <c r="E8" i="1"/>
  <c r="D8" i="24"/>
  <c r="E67" i="1"/>
  <c r="D67" i="24"/>
  <c r="E126" i="1"/>
  <c r="D126" i="24"/>
  <c r="E50" i="1"/>
  <c r="D50" i="24"/>
  <c r="E112" i="1"/>
  <c r="D112" i="24"/>
  <c r="E64" i="1"/>
  <c r="D64" i="24"/>
  <c r="X45" i="1"/>
  <c r="Z16" i="1" s="1"/>
  <c r="E7" i="1"/>
  <c r="D7" i="24"/>
  <c r="E134" i="1"/>
  <c r="D134" i="24"/>
  <c r="E9" i="1"/>
  <c r="D9" i="24"/>
  <c r="E61" i="1"/>
  <c r="D61" i="24"/>
  <c r="E30" i="1"/>
  <c r="D30" i="24"/>
  <c r="E72" i="1"/>
  <c r="D72" i="24"/>
  <c r="E26" i="1"/>
  <c r="D26" i="24"/>
  <c r="E70" i="1"/>
  <c r="D70" i="24"/>
  <c r="E33" i="1"/>
  <c r="D33" i="24"/>
  <c r="E110" i="1"/>
  <c r="D110" i="24"/>
  <c r="E100" i="1"/>
  <c r="D100" i="24"/>
  <c r="E74" i="1"/>
  <c r="D74" i="24"/>
  <c r="E21" i="1"/>
  <c r="D21" i="24"/>
  <c r="E6" i="1"/>
  <c r="D6" i="24"/>
  <c r="E23" i="1"/>
  <c r="D23" i="24"/>
  <c r="X84" i="1"/>
  <c r="Z29" i="1" s="1"/>
  <c r="E95" i="1"/>
  <c r="D95" i="24"/>
  <c r="E111" i="1"/>
  <c r="D111" i="24"/>
  <c r="E43" i="1"/>
  <c r="D43" i="24"/>
  <c r="E138" i="1"/>
  <c r="D138" i="24"/>
  <c r="E37" i="1"/>
  <c r="D37" i="24"/>
  <c r="E28" i="1"/>
  <c r="D28" i="24"/>
  <c r="E83" i="1"/>
  <c r="D83" i="24"/>
  <c r="E137" i="1"/>
  <c r="D137" i="24"/>
  <c r="E131" i="1"/>
  <c r="D131" i="24"/>
  <c r="E81" i="1"/>
  <c r="D81" i="24"/>
  <c r="E109" i="1"/>
  <c r="D109" i="24"/>
  <c r="E125" i="1"/>
  <c r="D125" i="24"/>
  <c r="E127" i="1"/>
  <c r="D127" i="24"/>
  <c r="E141" i="1"/>
  <c r="D141" i="24"/>
  <c r="E99" i="1"/>
  <c r="D99" i="24"/>
  <c r="E129" i="1"/>
  <c r="D129"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4" i="1"/>
  <c r="D104" i="24"/>
  <c r="E51" i="1"/>
  <c r="D51" i="24"/>
  <c r="E151" i="1"/>
  <c r="D151" i="24"/>
  <c r="E150" i="1"/>
  <c r="D150" i="24"/>
  <c r="E44" i="1"/>
  <c r="D44" i="24"/>
  <c r="X27" i="1"/>
  <c r="Z10" i="1" s="1"/>
  <c r="E88" i="1"/>
  <c r="D88" i="24"/>
  <c r="E75" i="1"/>
  <c r="D75" i="24"/>
  <c r="E121" i="1"/>
  <c r="D121" i="24"/>
  <c r="E147" i="1"/>
  <c r="D147" i="24"/>
  <c r="E20" i="1"/>
  <c r="D20" i="24"/>
  <c r="E36" i="1"/>
  <c r="D36" i="24"/>
  <c r="E24" i="1"/>
  <c r="D24" i="24"/>
  <c r="E135" i="1"/>
  <c r="D135" i="24"/>
  <c r="E146" i="1"/>
  <c r="D146" i="24"/>
  <c r="X76" i="1"/>
  <c r="AA26" i="1" s="1"/>
  <c r="E93" i="1"/>
  <c r="D93" i="24"/>
  <c r="E108" i="1"/>
  <c r="D108" i="24"/>
  <c r="E65" i="1"/>
  <c r="D65" i="24"/>
  <c r="E62" i="1"/>
  <c r="D62" i="24"/>
  <c r="E142" i="1"/>
  <c r="D142" i="24"/>
  <c r="E106" i="1"/>
  <c r="D106" i="24"/>
  <c r="E16" i="1"/>
  <c r="D16" i="24"/>
  <c r="E12" i="1"/>
  <c r="D12" i="24"/>
  <c r="E73" i="1"/>
  <c r="D73" i="24"/>
  <c r="E34" i="1"/>
  <c r="D34" i="24"/>
  <c r="E40" i="1"/>
  <c r="D40" i="24"/>
  <c r="E124" i="1"/>
  <c r="D124" i="24"/>
  <c r="E94" i="1"/>
  <c r="D94" i="24"/>
  <c r="E107" i="1"/>
  <c r="D107" i="24"/>
  <c r="E105" i="1"/>
  <c r="D105" i="24"/>
  <c r="E25" i="1"/>
  <c r="D25" i="24"/>
  <c r="E123" i="1"/>
  <c r="D123" i="24"/>
  <c r="E15" i="1"/>
  <c r="D15" i="24"/>
  <c r="E136" i="1"/>
  <c r="D136" i="24"/>
  <c r="E66" i="1"/>
  <c r="D66" i="24"/>
  <c r="E89" i="1"/>
  <c r="D89" i="24"/>
  <c r="E60" i="1"/>
  <c r="D60" i="24"/>
  <c r="E148" i="1"/>
  <c r="D148" i="24"/>
  <c r="E120" i="1"/>
  <c r="D120" i="24"/>
  <c r="E69" i="1"/>
  <c r="D69" i="24"/>
  <c r="E59" i="1"/>
  <c r="D59" i="24"/>
  <c r="E35" i="1"/>
  <c r="D35" i="24"/>
  <c r="E77" i="1"/>
  <c r="D77" i="24"/>
  <c r="E53" i="1"/>
  <c r="D53" i="24"/>
  <c r="E11" i="1"/>
  <c r="D11" i="24"/>
  <c r="E19" i="1"/>
  <c r="D19" i="24"/>
  <c r="E55" i="1"/>
  <c r="D55" i="24"/>
  <c r="E96" i="1"/>
  <c r="D96" i="24"/>
  <c r="E90" i="1"/>
  <c r="D90" i="24"/>
  <c r="E5" i="1"/>
  <c r="D5" i="24"/>
  <c r="E13" i="1"/>
  <c r="D13" i="24"/>
  <c r="E119" i="1"/>
  <c r="D119" i="24"/>
  <c r="E22" i="1"/>
  <c r="D22" i="24"/>
  <c r="E39" i="1"/>
  <c r="D39" i="24"/>
  <c r="E42" i="1"/>
  <c r="D42" i="24"/>
  <c r="E46" i="1"/>
  <c r="D46" i="24"/>
  <c r="E82" i="1"/>
  <c r="D82" i="24"/>
  <c r="E115" i="1"/>
  <c r="D115" i="24"/>
  <c r="E78" i="1"/>
  <c r="D78" i="24"/>
  <c r="E52" i="1"/>
  <c r="D52" i="24"/>
  <c r="E63" i="1"/>
  <c r="D63" i="24"/>
  <c r="E32" i="1"/>
  <c r="D32" i="24"/>
  <c r="E41" i="1"/>
  <c r="D41" i="24"/>
  <c r="E149" i="1"/>
  <c r="D149" i="24"/>
  <c r="E3" i="1"/>
  <c r="D3" i="24"/>
  <c r="E80" i="1"/>
  <c r="D80" i="24"/>
  <c r="E122" i="1"/>
  <c r="D122" i="24"/>
  <c r="E133" i="1"/>
  <c r="D133" i="24"/>
  <c r="E17" i="1"/>
  <c r="D17" i="24"/>
  <c r="E10" i="1"/>
  <c r="D10" i="24"/>
  <c r="E48" i="1"/>
  <c r="D48" i="24"/>
  <c r="E91" i="1"/>
  <c r="D91" i="24"/>
  <c r="E2" i="1"/>
  <c r="D2" i="24"/>
  <c r="E87" i="1"/>
  <c r="D87" i="24"/>
  <c r="E71" i="1"/>
  <c r="D71" i="24"/>
  <c r="E98" i="1"/>
  <c r="D98" i="24"/>
  <c r="X47" i="1"/>
  <c r="Y17" i="1" s="1"/>
  <c r="E114" i="1"/>
  <c r="D114" i="24"/>
  <c r="X130" i="1"/>
  <c r="AA44" i="1" s="1"/>
  <c r="E139" i="1"/>
  <c r="D139" i="24"/>
  <c r="E97" i="1"/>
  <c r="D97" i="24"/>
  <c r="E49" i="1"/>
  <c r="D49" i="24"/>
  <c r="E92" i="1"/>
  <c r="D92" i="24"/>
  <c r="E4" i="1"/>
  <c r="D4" i="24"/>
  <c r="M91" i="5" l="1"/>
  <c r="G91" i="1" s="1"/>
  <c r="H91" i="1" s="1"/>
  <c r="L31" i="1" s="1"/>
  <c r="AK4" i="1"/>
  <c r="AK20" i="1"/>
  <c r="AK45" i="1"/>
  <c r="AK16" i="1"/>
  <c r="AK10" i="1"/>
  <c r="AK23" i="1"/>
  <c r="AK26" i="1"/>
  <c r="AK51" i="1"/>
  <c r="AK33" i="1"/>
  <c r="AK46" i="1"/>
  <c r="AK7" i="1"/>
  <c r="AK29" i="1"/>
  <c r="AK8" i="1"/>
  <c r="AK49" i="1"/>
  <c r="AK32" i="1"/>
  <c r="AK50" i="1"/>
  <c r="AK19" i="1"/>
  <c r="AK15" i="1"/>
  <c r="AK5" i="1"/>
  <c r="AK12" i="1"/>
  <c r="AK18" i="1"/>
  <c r="AK28" i="1"/>
  <c r="AK30" i="1"/>
  <c r="AK3" i="1"/>
  <c r="AK48" i="1"/>
  <c r="AK41" i="1"/>
  <c r="AK25" i="1"/>
  <c r="AK9" i="1"/>
  <c r="AK27" i="1"/>
  <c r="AK31" i="1"/>
  <c r="AK38" i="1"/>
  <c r="AK42" i="1"/>
  <c r="AK47" i="1"/>
  <c r="AK17" i="1"/>
  <c r="AK36" i="1"/>
  <c r="AK13" i="1"/>
  <c r="AK22" i="1"/>
  <c r="AK39" i="1"/>
  <c r="AK34" i="1"/>
  <c r="AK6" i="1"/>
  <c r="AK40" i="1"/>
  <c r="AK24" i="1"/>
  <c r="AK35" i="1"/>
  <c r="AK14" i="1"/>
  <c r="AK11" i="1"/>
  <c r="AK43" i="1"/>
  <c r="AK37" i="1"/>
  <c r="AK21" i="1"/>
  <c r="M102" i="5"/>
  <c r="E102" i="5" s="1"/>
  <c r="E102" i="24" s="1"/>
  <c r="M140" i="5"/>
  <c r="G140" i="1" s="1"/>
  <c r="M27" i="5"/>
  <c r="G27" i="1" s="1"/>
  <c r="H27" i="1" s="1"/>
  <c r="K10" i="1" s="1"/>
  <c r="M90" i="5"/>
  <c r="G90" i="1" s="1"/>
  <c r="H90" i="1" s="1"/>
  <c r="K31" i="1" s="1"/>
  <c r="M150" i="5"/>
  <c r="G150" i="1" s="1"/>
  <c r="H150" i="1" s="1"/>
  <c r="K51" i="1" s="1"/>
  <c r="M110" i="5"/>
  <c r="G110" i="1" s="1"/>
  <c r="M89" i="5"/>
  <c r="G89" i="1" s="1"/>
  <c r="M111" i="5"/>
  <c r="G111" i="1" s="1"/>
  <c r="H111" i="1" s="1"/>
  <c r="K38" i="1" s="1"/>
  <c r="M51" i="5"/>
  <c r="G51" i="1" s="1"/>
  <c r="H51" i="1" s="1"/>
  <c r="K18" i="1" s="1"/>
  <c r="M65" i="5"/>
  <c r="G65" i="1" s="1"/>
  <c r="M116" i="5"/>
  <c r="G116" i="1" s="1"/>
  <c r="M112" i="5"/>
  <c r="N112" i="5" s="1"/>
  <c r="M149" i="5"/>
  <c r="G149" i="1" s="1"/>
  <c r="M13" i="5"/>
  <c r="G13" i="1" s="1"/>
  <c r="H13" i="1" s="1"/>
  <c r="L5" i="1" s="1"/>
  <c r="M12" i="5"/>
  <c r="G12" i="1" s="1"/>
  <c r="H12" i="1" s="1"/>
  <c r="K5" i="1" s="1"/>
  <c r="M70" i="5"/>
  <c r="N70" i="5" s="1"/>
  <c r="M20" i="5"/>
  <c r="G20" i="1" s="1"/>
  <c r="M151" i="5"/>
  <c r="G151" i="1" s="1"/>
  <c r="H151" i="1" s="1"/>
  <c r="L51" i="1" s="1"/>
  <c r="M17" i="5"/>
  <c r="G17" i="1" s="1"/>
  <c r="M62" i="5"/>
  <c r="G62" i="1" s="1"/>
  <c r="M49" i="5"/>
  <c r="G49" i="1" s="1"/>
  <c r="H49" i="1" s="1"/>
  <c r="L17" i="1" s="1"/>
  <c r="M55" i="5"/>
  <c r="G55" i="1" s="1"/>
  <c r="H55" i="1" s="1"/>
  <c r="M19" i="5"/>
  <c r="G19" i="1" s="1"/>
  <c r="H19" i="1" s="1"/>
  <c r="M67" i="5"/>
  <c r="G67" i="1" s="1"/>
  <c r="H67" i="1" s="1"/>
  <c r="L23" i="1" s="1"/>
  <c r="M136" i="5"/>
  <c r="G136" i="1" s="1"/>
  <c r="H136" i="1" s="1"/>
  <c r="L46" i="1" s="1"/>
  <c r="M8" i="5"/>
  <c r="G8" i="1" s="1"/>
  <c r="M138" i="5"/>
  <c r="G138" i="1" s="1"/>
  <c r="H138" i="1" s="1"/>
  <c r="K47" i="1" s="1"/>
  <c r="M71" i="5"/>
  <c r="G71" i="1" s="1"/>
  <c r="M83" i="5"/>
  <c r="G83" i="1" s="1"/>
  <c r="M117" i="5"/>
  <c r="G117" i="1" s="1"/>
  <c r="H117" i="1" s="1"/>
  <c r="M44" i="5"/>
  <c r="G44" i="1" s="1"/>
  <c r="M54" i="5"/>
  <c r="G54" i="1" s="1"/>
  <c r="H54" i="1" s="1"/>
  <c r="K19" i="1" s="1"/>
  <c r="M132" i="5"/>
  <c r="G132" i="1" s="1"/>
  <c r="H132" i="1" s="1"/>
  <c r="K45" i="1" s="1"/>
  <c r="M30" i="5"/>
  <c r="N30" i="5" s="1"/>
  <c r="M113" i="5"/>
  <c r="G113" i="1" s="1"/>
  <c r="M128" i="5"/>
  <c r="N128" i="5" s="1"/>
  <c r="M25" i="5"/>
  <c r="N25" i="5" s="1"/>
  <c r="M142" i="5"/>
  <c r="G142" i="1" s="1"/>
  <c r="H142" i="1" s="1"/>
  <c r="L48" i="1" s="1"/>
  <c r="M26" i="5"/>
  <c r="G26" i="1" s="1"/>
  <c r="M79" i="5"/>
  <c r="G79" i="1" s="1"/>
  <c r="H79" i="1" s="1"/>
  <c r="L27" i="1" s="1"/>
  <c r="M73" i="5"/>
  <c r="G73" i="1" s="1"/>
  <c r="H73" i="1" s="1"/>
  <c r="L25" i="1" s="1"/>
  <c r="M3" i="5"/>
  <c r="G3" i="1" s="1"/>
  <c r="H3" i="1" s="1"/>
  <c r="K2" i="1" s="1"/>
  <c r="M57" i="5"/>
  <c r="G57" i="1" s="1"/>
  <c r="H57" i="1" s="1"/>
  <c r="K20" i="1" s="1"/>
  <c r="N20" i="1" s="1"/>
  <c r="M87" i="5"/>
  <c r="G87" i="1" s="1"/>
  <c r="H87" i="1" s="1"/>
  <c r="K30" i="1" s="1"/>
  <c r="M41" i="5"/>
  <c r="G41" i="1" s="1"/>
  <c r="M124" i="5"/>
  <c r="N124" i="5" s="1"/>
  <c r="M2" i="5"/>
  <c r="G2" i="1" s="1"/>
  <c r="M125" i="5"/>
  <c r="G125" i="1" s="1"/>
  <c r="M16" i="5"/>
  <c r="G16" i="1" s="1"/>
  <c r="H16" i="1" s="1"/>
  <c r="L6" i="1" s="1"/>
  <c r="M43" i="5"/>
  <c r="N43" i="5" s="1"/>
  <c r="M133" i="5"/>
  <c r="G133" i="1" s="1"/>
  <c r="H133" i="1" s="1"/>
  <c r="L45" i="1" s="1"/>
  <c r="M127" i="5"/>
  <c r="G127" i="1" s="1"/>
  <c r="H127" i="1" s="1"/>
  <c r="L43" i="1" s="1"/>
  <c r="M72" i="5"/>
  <c r="N72" i="5" s="1"/>
  <c r="M58" i="5"/>
  <c r="N58" i="5" s="1"/>
  <c r="M104" i="5"/>
  <c r="G104" i="1" s="1"/>
  <c r="M11" i="5"/>
  <c r="G11" i="1" s="1"/>
  <c r="M93" i="5"/>
  <c r="G93" i="1" s="1"/>
  <c r="H93" i="1" s="1"/>
  <c r="K32" i="1" s="1"/>
  <c r="M33" i="5"/>
  <c r="G33" i="1" s="1"/>
  <c r="H33" i="1" s="1"/>
  <c r="K12" i="1" s="1"/>
  <c r="M75" i="5"/>
  <c r="G75" i="1" s="1"/>
  <c r="H75" i="1" s="1"/>
  <c r="K26" i="1" s="1"/>
  <c r="M18" i="5"/>
  <c r="G18" i="1" s="1"/>
  <c r="H18" i="1" s="1"/>
  <c r="K7" i="1" s="1"/>
  <c r="N7" i="1" s="1"/>
  <c r="M139" i="5"/>
  <c r="G139" i="1" s="1"/>
  <c r="H139" i="1" s="1"/>
  <c r="L47" i="1" s="1"/>
  <c r="M103" i="5"/>
  <c r="G103" i="1" s="1"/>
  <c r="H103" i="1" s="1"/>
  <c r="L35" i="1" s="1"/>
  <c r="M131" i="5"/>
  <c r="G131" i="1" s="1"/>
  <c r="M106" i="5"/>
  <c r="G106" i="1" s="1"/>
  <c r="H106" i="1" s="1"/>
  <c r="L36" i="1" s="1"/>
  <c r="M120" i="5"/>
  <c r="G120" i="1" s="1"/>
  <c r="H120" i="1" s="1"/>
  <c r="K41" i="1" s="1"/>
  <c r="M37" i="5"/>
  <c r="G37" i="1" s="1"/>
  <c r="H37" i="1" s="1"/>
  <c r="L13" i="1" s="1"/>
  <c r="M115" i="5"/>
  <c r="G115" i="1" s="1"/>
  <c r="H115" i="1" s="1"/>
  <c r="L39" i="1" s="1"/>
  <c r="M101" i="5"/>
  <c r="N101" i="5" s="1"/>
  <c r="M50" i="5"/>
  <c r="G50" i="1" s="1"/>
  <c r="M85" i="5"/>
  <c r="G85" i="1" s="1"/>
  <c r="H85" i="1" s="1"/>
  <c r="M63" i="5"/>
  <c r="G63" i="1" s="1"/>
  <c r="H63" i="1" s="1"/>
  <c r="K22" i="1" s="1"/>
  <c r="M100" i="5"/>
  <c r="G100" i="1" s="1"/>
  <c r="H100" i="1" s="1"/>
  <c r="L34" i="1" s="1"/>
  <c r="M145" i="5"/>
  <c r="N145" i="5" s="1"/>
  <c r="M34" i="5"/>
  <c r="G34" i="1" s="1"/>
  <c r="H34" i="1" s="1"/>
  <c r="L12" i="1" s="1"/>
  <c r="M36" i="5"/>
  <c r="G36" i="1" s="1"/>
  <c r="H36" i="1" s="1"/>
  <c r="K13" i="1" s="1"/>
  <c r="M39" i="5"/>
  <c r="G39" i="1" s="1"/>
  <c r="H39" i="1" s="1"/>
  <c r="M61" i="5"/>
  <c r="G61" i="1" s="1"/>
  <c r="H61" i="1" s="1"/>
  <c r="L21" i="1" s="1"/>
  <c r="M59" i="5"/>
  <c r="G59" i="1" s="1"/>
  <c r="M64" i="5"/>
  <c r="G64" i="1" s="1"/>
  <c r="H64" i="1" s="1"/>
  <c r="L22" i="1" s="1"/>
  <c r="M81" i="5"/>
  <c r="G81" i="1" s="1"/>
  <c r="H81" i="1" s="1"/>
  <c r="K28" i="1" s="1"/>
  <c r="M148" i="5"/>
  <c r="G148" i="1" s="1"/>
  <c r="H148" i="1" s="1"/>
  <c r="L50" i="1" s="1"/>
  <c r="M35" i="5"/>
  <c r="G35" i="1" s="1"/>
  <c r="M52" i="5"/>
  <c r="G52" i="1" s="1"/>
  <c r="H52" i="1" s="1"/>
  <c r="L18" i="1" s="1"/>
  <c r="M121" i="5"/>
  <c r="G121" i="1" s="1"/>
  <c r="H121" i="1" s="1"/>
  <c r="L41" i="1" s="1"/>
  <c r="M28" i="5"/>
  <c r="G28" i="1" s="1"/>
  <c r="H28" i="1" s="1"/>
  <c r="L10" i="1" s="1"/>
  <c r="M56" i="5"/>
  <c r="G56" i="1" s="1"/>
  <c r="M147" i="5"/>
  <c r="G147" i="1" s="1"/>
  <c r="H147" i="1" s="1"/>
  <c r="M24" i="5"/>
  <c r="E24" i="5" s="1"/>
  <c r="E24" i="24" s="1"/>
  <c r="M5" i="5"/>
  <c r="G5" i="1" s="1"/>
  <c r="M48" i="5"/>
  <c r="G48" i="1" s="1"/>
  <c r="H48" i="1" s="1"/>
  <c r="M84" i="5"/>
  <c r="E84" i="5" s="1"/>
  <c r="E84" i="24" s="1"/>
  <c r="M78" i="5"/>
  <c r="E78" i="5" s="1"/>
  <c r="E78" i="24" s="1"/>
  <c r="M96" i="5"/>
  <c r="G96" i="1" s="1"/>
  <c r="H96" i="1" s="1"/>
  <c r="K33" i="1" s="1"/>
  <c r="M40" i="5"/>
  <c r="G40" i="1" s="1"/>
  <c r="H40" i="1" s="1"/>
  <c r="L14" i="1" s="1"/>
  <c r="M95" i="5"/>
  <c r="G95" i="1" s="1"/>
  <c r="M119" i="5"/>
  <c r="G119" i="1" s="1"/>
  <c r="M99" i="5"/>
  <c r="G99" i="1" s="1"/>
  <c r="H99" i="1" s="1"/>
  <c r="K34" i="1" s="1"/>
  <c r="M143" i="5"/>
  <c r="G143" i="1" s="1"/>
  <c r="M47" i="5"/>
  <c r="G47" i="1" s="1"/>
  <c r="M92" i="5"/>
  <c r="G92" i="1" s="1"/>
  <c r="M86" i="5"/>
  <c r="N86" i="5" s="1"/>
  <c r="M46" i="5"/>
  <c r="G46" i="1" s="1"/>
  <c r="H46" i="1" s="1"/>
  <c r="L16" i="1" s="1"/>
  <c r="M122" i="5"/>
  <c r="G122" i="1" s="1"/>
  <c r="M108" i="5"/>
  <c r="G108" i="1" s="1"/>
  <c r="H108" i="1" s="1"/>
  <c r="K37" i="1" s="1"/>
  <c r="M97" i="5"/>
  <c r="G97" i="1" s="1"/>
  <c r="H97" i="1" s="1"/>
  <c r="L33" i="1" s="1"/>
  <c r="M10" i="5"/>
  <c r="G10" i="1" s="1"/>
  <c r="H10" i="1" s="1"/>
  <c r="L4" i="1" s="1"/>
  <c r="M60" i="5"/>
  <c r="G60" i="1" s="1"/>
  <c r="H60" i="1" s="1"/>
  <c r="K21" i="1" s="1"/>
  <c r="M123" i="5"/>
  <c r="G123" i="1" s="1"/>
  <c r="H123" i="1" s="1"/>
  <c r="K42" i="1" s="1"/>
  <c r="M15" i="5"/>
  <c r="G15" i="1" s="1"/>
  <c r="H15" i="1" s="1"/>
  <c r="M22" i="5"/>
  <c r="G22" i="1" s="1"/>
  <c r="H22" i="1" s="1"/>
  <c r="L8" i="1" s="1"/>
  <c r="M21" i="5"/>
  <c r="G21" i="1" s="1"/>
  <c r="H21" i="1" s="1"/>
  <c r="K8" i="1" s="1"/>
  <c r="M53" i="5"/>
  <c r="N53" i="5" s="1"/>
  <c r="M144" i="5"/>
  <c r="E144" i="5" s="1"/>
  <c r="E144" i="24" s="1"/>
  <c r="M7" i="5"/>
  <c r="G7" i="1" s="1"/>
  <c r="H7" i="1" s="1"/>
  <c r="L3" i="1" s="1"/>
  <c r="M29" i="5"/>
  <c r="N29" i="5" s="1"/>
  <c r="M118" i="5"/>
  <c r="E118" i="5" s="1"/>
  <c r="E118" i="24" s="1"/>
  <c r="M105" i="5"/>
  <c r="E105" i="5" s="1"/>
  <c r="E105" i="24" s="1"/>
  <c r="M126" i="5"/>
  <c r="G126" i="1" s="1"/>
  <c r="H126" i="1" s="1"/>
  <c r="K43" i="1" s="1"/>
  <c r="M88" i="5"/>
  <c r="G88" i="1" s="1"/>
  <c r="H88" i="1" s="1"/>
  <c r="L30" i="1" s="1"/>
  <c r="M9" i="5"/>
  <c r="G9" i="1" s="1"/>
  <c r="H9" i="1" s="1"/>
  <c r="K4" i="1" s="1"/>
  <c r="M38" i="5"/>
  <c r="G38" i="1" s="1"/>
  <c r="M135" i="5"/>
  <c r="G135" i="1" s="1"/>
  <c r="H135" i="1" s="1"/>
  <c r="K46" i="1" s="1"/>
  <c r="M114" i="5"/>
  <c r="G114" i="1" s="1"/>
  <c r="H114" i="1" s="1"/>
  <c r="M134" i="5"/>
  <c r="G134" i="1" s="1"/>
  <c r="M4" i="5"/>
  <c r="G4" i="1" s="1"/>
  <c r="H4" i="1" s="1"/>
  <c r="L2" i="1" s="1"/>
  <c r="M42" i="5"/>
  <c r="G42" i="1" s="1"/>
  <c r="H42" i="1" s="1"/>
  <c r="K15" i="1" s="1"/>
  <c r="M76" i="5"/>
  <c r="G76" i="1" s="1"/>
  <c r="H76" i="1" s="1"/>
  <c r="L26" i="1" s="1"/>
  <c r="M77" i="5"/>
  <c r="G77" i="1" s="1"/>
  <c r="M129" i="5"/>
  <c r="G129" i="1" s="1"/>
  <c r="H129" i="1" s="1"/>
  <c r="M137" i="5"/>
  <c r="G137" i="1" s="1"/>
  <c r="M98" i="5"/>
  <c r="G98" i="1" s="1"/>
  <c r="M130" i="5"/>
  <c r="E130" i="5" s="1"/>
  <c r="E130" i="24" s="1"/>
  <c r="M146" i="5"/>
  <c r="G146" i="1" s="1"/>
  <c r="M32" i="5"/>
  <c r="G32" i="1" s="1"/>
  <c r="M23" i="5"/>
  <c r="G23" i="1" s="1"/>
  <c r="M6" i="5"/>
  <c r="G6" i="1" s="1"/>
  <c r="H6" i="1" s="1"/>
  <c r="K3" i="1" s="1"/>
  <c r="M74" i="5"/>
  <c r="G74" i="1" s="1"/>
  <c r="M66" i="5"/>
  <c r="G66" i="1" s="1"/>
  <c r="H66" i="1" s="1"/>
  <c r="K23" i="1" s="1"/>
  <c r="M69" i="5"/>
  <c r="G69" i="1" s="1"/>
  <c r="H69" i="1" s="1"/>
  <c r="M109" i="5"/>
  <c r="G109" i="1" s="1"/>
  <c r="H109" i="1" s="1"/>
  <c r="L37" i="1" s="1"/>
  <c r="M141" i="5"/>
  <c r="G141" i="1" s="1"/>
  <c r="H141" i="1" s="1"/>
  <c r="M94" i="5"/>
  <c r="G94" i="1" s="1"/>
  <c r="H94" i="1" s="1"/>
  <c r="L32" i="1" s="1"/>
  <c r="M14" i="5"/>
  <c r="G14" i="1" s="1"/>
  <c r="M68" i="5"/>
  <c r="E68" i="5" s="1"/>
  <c r="E68" i="24" s="1"/>
  <c r="M45" i="5"/>
  <c r="G45" i="1" s="1"/>
  <c r="H45" i="1" s="1"/>
  <c r="K16" i="1" s="1"/>
  <c r="M80" i="5"/>
  <c r="G80" i="1" s="1"/>
  <c r="M107" i="5"/>
  <c r="G107" i="1" s="1"/>
  <c r="M31" i="5"/>
  <c r="G31" i="1" s="1"/>
  <c r="H31" i="1" s="1"/>
  <c r="L11" i="1" s="1"/>
  <c r="M82" i="5"/>
  <c r="G82" i="1" s="1"/>
  <c r="H82" i="1" s="1"/>
  <c r="L28" i="1" s="1"/>
  <c r="O31" i="6"/>
  <c r="L34" i="6" s="1"/>
  <c r="L20" i="6"/>
  <c r="L27" i="6"/>
  <c r="L10" i="6"/>
  <c r="N10" i="6"/>
  <c r="Q10" i="6" s="1"/>
  <c r="O10" i="6"/>
  <c r="M10" i="6"/>
  <c r="P10" i="6"/>
  <c r="L6" i="6"/>
  <c r="AF40" i="1"/>
  <c r="AG35" i="1"/>
  <c r="AG49" i="1"/>
  <c r="AG20" i="1"/>
  <c r="AF35" i="1"/>
  <c r="AF20" i="1"/>
  <c r="AF49" i="1"/>
  <c r="AE20" i="1"/>
  <c r="AH20" i="1" s="1"/>
  <c r="O5" i="55"/>
  <c r="R5" i="55" s="1"/>
  <c r="O19" i="55"/>
  <c r="Q40" i="55"/>
  <c r="O40" i="55"/>
  <c r="S40" i="55"/>
  <c r="O26" i="55"/>
  <c r="R26" i="55" s="1"/>
  <c r="Q12" i="55"/>
  <c r="O12" i="55"/>
  <c r="R12" i="55" s="1"/>
  <c r="S12" i="55"/>
  <c r="O33" i="55"/>
  <c r="R33" i="55" s="1"/>
  <c r="S33" i="55"/>
  <c r="Q33" i="55"/>
  <c r="O47" i="55"/>
  <c r="AE49" i="1"/>
  <c r="AH49" i="1" s="1"/>
  <c r="X116" i="1"/>
  <c r="Y40" i="1" s="1"/>
  <c r="AE35" i="1"/>
  <c r="AH35" i="1" s="1"/>
  <c r="P26" i="55"/>
  <c r="S26" i="55" s="1"/>
  <c r="M26" i="55"/>
  <c r="Q26" i="55" s="1"/>
  <c r="M19" i="55"/>
  <c r="Q19" i="55" s="1"/>
  <c r="P47" i="55"/>
  <c r="S47" i="55" s="1"/>
  <c r="M47" i="55"/>
  <c r="Q47" i="55" s="1"/>
  <c r="M5" i="55"/>
  <c r="Q5" i="55" s="1"/>
  <c r="M40" i="55"/>
  <c r="M12" i="55"/>
  <c r="M33" i="55"/>
  <c r="P33" i="55"/>
  <c r="AB6" i="1"/>
  <c r="X136" i="1"/>
  <c r="AA46" i="1" s="1"/>
  <c r="X51" i="1"/>
  <c r="Z18" i="1" s="1"/>
  <c r="L26" i="55"/>
  <c r="X95" i="1"/>
  <c r="Y33" i="1" s="1"/>
  <c r="X132" i="1"/>
  <c r="Z45" i="1" s="1"/>
  <c r="X97" i="1"/>
  <c r="AA33" i="1" s="1"/>
  <c r="AD44" i="1"/>
  <c r="AG44" i="1" s="1"/>
  <c r="Y52" i="1"/>
  <c r="X91" i="1"/>
  <c r="AA31" i="1" s="1"/>
  <c r="X48" i="1"/>
  <c r="Z17" i="1" s="1"/>
  <c r="X82" i="1"/>
  <c r="AA28" i="1" s="1"/>
  <c r="X119" i="1"/>
  <c r="Y41" i="1" s="1"/>
  <c r="X96" i="1"/>
  <c r="Z33" i="1" s="1"/>
  <c r="X77" i="1"/>
  <c r="Y27" i="1" s="1"/>
  <c r="X59" i="1"/>
  <c r="Y21" i="1" s="1"/>
  <c r="Y53" i="1"/>
  <c r="X107" i="1"/>
  <c r="Y37" i="1" s="1"/>
  <c r="X40" i="1"/>
  <c r="AA14" i="1" s="1"/>
  <c r="X12" i="1"/>
  <c r="Z5" i="1" s="1"/>
  <c r="X62" i="1"/>
  <c r="Y22" i="1" s="1"/>
  <c r="X146" i="1"/>
  <c r="Y50" i="1" s="1"/>
  <c r="X36" i="1"/>
  <c r="Z13" i="1" s="1"/>
  <c r="X121" i="1"/>
  <c r="AA41" i="1" s="1"/>
  <c r="X150" i="1"/>
  <c r="Z51" i="1" s="1"/>
  <c r="R47" i="55"/>
  <c r="L47" i="55"/>
  <c r="X109" i="1"/>
  <c r="AA37" i="1" s="1"/>
  <c r="X131" i="1"/>
  <c r="Y45" i="1" s="1"/>
  <c r="X26" i="1"/>
  <c r="Y10" i="1" s="1"/>
  <c r="X30" i="1"/>
  <c r="Z11" i="1" s="1"/>
  <c r="X85" i="1"/>
  <c r="AA29" i="1" s="1"/>
  <c r="X133" i="1"/>
  <c r="AA45" i="1" s="1"/>
  <c r="X80" i="1"/>
  <c r="Y28" i="1" s="1"/>
  <c r="X60" i="1"/>
  <c r="Z21" i="1" s="1"/>
  <c r="X65" i="1"/>
  <c r="Y23" i="1" s="1"/>
  <c r="X108" i="1"/>
  <c r="Z37" i="1" s="1"/>
  <c r="X104" i="1"/>
  <c r="Y36" i="1" s="1"/>
  <c r="L40" i="55"/>
  <c r="R40" i="55"/>
  <c r="X99" i="1"/>
  <c r="Z34" i="1" s="1"/>
  <c r="X127" i="1"/>
  <c r="AA43" i="1" s="1"/>
  <c r="X37" i="1"/>
  <c r="AA13" i="1" s="1"/>
  <c r="AC29" i="1"/>
  <c r="X6" i="1"/>
  <c r="Z3" i="1" s="1"/>
  <c r="X54" i="1"/>
  <c r="Z19" i="1" s="1"/>
  <c r="X52" i="1"/>
  <c r="AA18" i="1" s="1"/>
  <c r="AA53" i="1"/>
  <c r="X139" i="1"/>
  <c r="AA47" i="1" s="1"/>
  <c r="X114" i="1"/>
  <c r="Z39" i="1" s="1"/>
  <c r="X98" i="1"/>
  <c r="Y34" i="1" s="1"/>
  <c r="X78" i="1"/>
  <c r="Z27" i="1" s="1"/>
  <c r="X46" i="1"/>
  <c r="AA16" i="1" s="1"/>
  <c r="X39" i="1"/>
  <c r="Z14" i="1" s="1"/>
  <c r="X13" i="1"/>
  <c r="AA5" i="1" s="1"/>
  <c r="X55" i="1"/>
  <c r="AA19" i="1" s="1"/>
  <c r="X11" i="1"/>
  <c r="Y5" i="1" s="1"/>
  <c r="X15" i="1"/>
  <c r="Z6" i="1" s="1"/>
  <c r="X25" i="1"/>
  <c r="AA9" i="1" s="1"/>
  <c r="X94" i="1"/>
  <c r="AA32" i="1" s="1"/>
  <c r="X16" i="1"/>
  <c r="AA6" i="1" s="1"/>
  <c r="X20" i="1"/>
  <c r="Y8" i="1" s="1"/>
  <c r="X75" i="1"/>
  <c r="Z26" i="1" s="1"/>
  <c r="L33" i="55"/>
  <c r="Z53" i="1"/>
  <c r="X137" i="1"/>
  <c r="Y47" i="1" s="1"/>
  <c r="X74" i="1"/>
  <c r="Y26" i="1" s="1"/>
  <c r="X110" i="1"/>
  <c r="Y38" i="1" s="1"/>
  <c r="AA52" i="1"/>
  <c r="X134" i="1"/>
  <c r="Y46" i="1" s="1"/>
  <c r="X64" i="1"/>
  <c r="AA22" i="1" s="1"/>
  <c r="X126" i="1"/>
  <c r="Z43" i="1" s="1"/>
  <c r="X41" i="1"/>
  <c r="Y15" i="1" s="1"/>
  <c r="X71" i="1"/>
  <c r="Y25" i="1" s="1"/>
  <c r="X122" i="1"/>
  <c r="Y42" i="1" s="1"/>
  <c r="X3" i="1"/>
  <c r="Z2" i="1" s="1"/>
  <c r="X32" i="1"/>
  <c r="Y12" i="1" s="1"/>
  <c r="Z52" i="1"/>
  <c r="X151" i="1"/>
  <c r="AA51" i="1" s="1"/>
  <c r="X31" i="1"/>
  <c r="AA11" i="1" s="1"/>
  <c r="X138" i="1"/>
  <c r="Z47" i="1" s="1"/>
  <c r="X111" i="1"/>
  <c r="Z38" i="1" s="1"/>
  <c r="X17" i="1"/>
  <c r="Y7" i="1" s="1"/>
  <c r="X4" i="1"/>
  <c r="AA2" i="1" s="1"/>
  <c r="X2" i="1"/>
  <c r="Y2" i="1" s="1"/>
  <c r="X10" i="1"/>
  <c r="AA4" i="1" s="1"/>
  <c r="X115" i="1"/>
  <c r="AA39" i="1" s="1"/>
  <c r="X42" i="1"/>
  <c r="Z15" i="1" s="1"/>
  <c r="X5" i="1"/>
  <c r="Y3" i="1" s="1"/>
  <c r="X19" i="1"/>
  <c r="AA7" i="1" s="1"/>
  <c r="X53" i="1"/>
  <c r="Y19" i="1" s="1"/>
  <c r="X69" i="1"/>
  <c r="Z24" i="1" s="1"/>
  <c r="X120" i="1"/>
  <c r="Z41" i="1" s="1"/>
  <c r="X123" i="1"/>
  <c r="Z42" i="1" s="1"/>
  <c r="X105" i="1"/>
  <c r="Z36" i="1" s="1"/>
  <c r="X124" i="1"/>
  <c r="AA42" i="1" s="1"/>
  <c r="X34" i="1"/>
  <c r="AA12" i="1" s="1"/>
  <c r="X106" i="1"/>
  <c r="AA36" i="1" s="1"/>
  <c r="X93" i="1"/>
  <c r="Z32" i="1" s="1"/>
  <c r="AB24" i="1"/>
  <c r="X24" i="1"/>
  <c r="Z9" i="1" s="1"/>
  <c r="X147" i="1"/>
  <c r="Z50" i="1" s="1"/>
  <c r="X88" i="1"/>
  <c r="AA30" i="1" s="1"/>
  <c r="L12" i="55"/>
  <c r="X29" i="1"/>
  <c r="Y11" i="1" s="1"/>
  <c r="X81" i="1"/>
  <c r="Z28" i="1" s="1"/>
  <c r="X100" i="1"/>
  <c r="AA34" i="1" s="1"/>
  <c r="X33" i="1"/>
  <c r="Z12" i="1" s="1"/>
  <c r="X72" i="1"/>
  <c r="Z25" i="1" s="1"/>
  <c r="X61" i="1"/>
  <c r="AA21" i="1" s="1"/>
  <c r="X7" i="1"/>
  <c r="AA3" i="1" s="1"/>
  <c r="X112" i="1"/>
  <c r="AA38" i="1" s="1"/>
  <c r="X67" i="1"/>
  <c r="AA23" i="1" s="1"/>
  <c r="X79" i="1"/>
  <c r="AA27" i="1" s="1"/>
  <c r="AB17" i="1"/>
  <c r="X87" i="1"/>
  <c r="Z30" i="1" s="1"/>
  <c r="X149" i="1"/>
  <c r="Y51" i="1" s="1"/>
  <c r="X63" i="1"/>
  <c r="Z22" i="1" s="1"/>
  <c r="X66" i="1"/>
  <c r="Z23" i="1" s="1"/>
  <c r="E91" i="5"/>
  <c r="E91" i="24" s="1"/>
  <c r="N91" i="5"/>
  <c r="L19" i="55"/>
  <c r="R19" i="55"/>
  <c r="X141" i="1"/>
  <c r="Z48" i="1" s="1"/>
  <c r="X83" i="1"/>
  <c r="Y29" i="1" s="1"/>
  <c r="X28" i="1"/>
  <c r="AA10" i="1" s="1"/>
  <c r="X43" i="1"/>
  <c r="AA15" i="1" s="1"/>
  <c r="X23" i="1"/>
  <c r="Y9" i="1" s="1"/>
  <c r="X21" i="1"/>
  <c r="Z8" i="1" s="1"/>
  <c r="AC16" i="1"/>
  <c r="X92" i="1"/>
  <c r="Y32" i="1" s="1"/>
  <c r="X49" i="1"/>
  <c r="AA17" i="1" s="1"/>
  <c r="X22" i="1"/>
  <c r="AA8" i="1" s="1"/>
  <c r="X90" i="1"/>
  <c r="Z31" i="1" s="1"/>
  <c r="X35" i="1"/>
  <c r="Y13" i="1" s="1"/>
  <c r="X148" i="1"/>
  <c r="AA50" i="1" s="1"/>
  <c r="X89" i="1"/>
  <c r="Y31" i="1" s="1"/>
  <c r="X73" i="1"/>
  <c r="AA25" i="1" s="1"/>
  <c r="X142" i="1"/>
  <c r="AA48" i="1" s="1"/>
  <c r="AD26" i="1"/>
  <c r="X135" i="1"/>
  <c r="Z46" i="1" s="1"/>
  <c r="AC10" i="1"/>
  <c r="X44" i="1"/>
  <c r="Y16" i="1" s="1"/>
  <c r="L5" i="55"/>
  <c r="X129" i="1"/>
  <c r="Z44" i="1" s="1"/>
  <c r="X125" i="1"/>
  <c r="Y43" i="1" s="1"/>
  <c r="X70" i="1"/>
  <c r="AA24" i="1" s="1"/>
  <c r="X9" i="1"/>
  <c r="Z4" i="1" s="1"/>
  <c r="X50" i="1"/>
  <c r="Y18" i="1" s="1"/>
  <c r="X8" i="1"/>
  <c r="Y4" i="1" s="1"/>
  <c r="H77" i="1" l="1"/>
  <c r="J27" i="1" s="1"/>
  <c r="H119" i="1"/>
  <c r="J41" i="1" s="1"/>
  <c r="U41" i="1"/>
  <c r="H11" i="1"/>
  <c r="U5" i="1"/>
  <c r="H125" i="1"/>
  <c r="J43" i="1" s="1"/>
  <c r="M43" i="1" s="1"/>
  <c r="U43" i="1"/>
  <c r="H14" i="1"/>
  <c r="J6" i="1" s="1"/>
  <c r="M6" i="1" s="1"/>
  <c r="U6" i="1"/>
  <c r="H23" i="1"/>
  <c r="J9" i="1" s="1"/>
  <c r="M9" i="1" s="1"/>
  <c r="H122" i="1"/>
  <c r="H95" i="1"/>
  <c r="J33" i="1" s="1"/>
  <c r="U33" i="1"/>
  <c r="H131" i="1"/>
  <c r="J45" i="1" s="1"/>
  <c r="U45" i="1"/>
  <c r="H104" i="1"/>
  <c r="J36" i="1" s="1"/>
  <c r="H2" i="1"/>
  <c r="J2" i="1" s="1"/>
  <c r="M2" i="1" s="1"/>
  <c r="U2" i="1"/>
  <c r="H26" i="1"/>
  <c r="J10" i="1" s="1"/>
  <c r="M10" i="1" s="1"/>
  <c r="U10" i="1"/>
  <c r="H44" i="1"/>
  <c r="J16" i="1" s="1"/>
  <c r="M16" i="1" s="1"/>
  <c r="U16" i="1"/>
  <c r="H89" i="1"/>
  <c r="J31" i="1" s="1"/>
  <c r="M31" i="1" s="1"/>
  <c r="U31" i="1"/>
  <c r="H146" i="1"/>
  <c r="J50" i="1" s="1"/>
  <c r="M50" i="1" s="1"/>
  <c r="U50" i="1"/>
  <c r="H50" i="1"/>
  <c r="J18" i="1" s="1"/>
  <c r="U18" i="1"/>
  <c r="H41" i="1"/>
  <c r="J15" i="1" s="1"/>
  <c r="H83" i="1"/>
  <c r="J29" i="1" s="1"/>
  <c r="M29" i="1" s="1"/>
  <c r="T29" i="1" s="1"/>
  <c r="H149" i="1"/>
  <c r="J51" i="1" s="1"/>
  <c r="M51" i="1" s="1"/>
  <c r="U51" i="1"/>
  <c r="H134" i="1"/>
  <c r="J46" i="1" s="1"/>
  <c r="U46" i="1"/>
  <c r="H92" i="1"/>
  <c r="U32" i="1"/>
  <c r="H71" i="1"/>
  <c r="J25" i="1" s="1"/>
  <c r="H62" i="1"/>
  <c r="J22" i="1" s="1"/>
  <c r="U22" i="1"/>
  <c r="H32" i="1"/>
  <c r="J12" i="1" s="1"/>
  <c r="U12" i="1"/>
  <c r="H56" i="1"/>
  <c r="J20" i="1" s="1"/>
  <c r="M20" i="1" s="1"/>
  <c r="H107" i="1"/>
  <c r="J37" i="1" s="1"/>
  <c r="U37" i="1"/>
  <c r="H98" i="1"/>
  <c r="J34" i="1" s="1"/>
  <c r="U34" i="1"/>
  <c r="H47" i="1"/>
  <c r="J17" i="1" s="1"/>
  <c r="M17" i="1" s="1"/>
  <c r="T17" i="1" s="1"/>
  <c r="U17" i="1"/>
  <c r="H113" i="1"/>
  <c r="J39" i="1" s="1"/>
  <c r="M39" i="1" s="1"/>
  <c r="U39" i="1"/>
  <c r="H17" i="1"/>
  <c r="J7" i="1" s="1"/>
  <c r="M7" i="1" s="1"/>
  <c r="U7" i="1"/>
  <c r="H116" i="1"/>
  <c r="J40" i="1" s="1"/>
  <c r="M40" i="1" s="1"/>
  <c r="H110" i="1"/>
  <c r="J38" i="1" s="1"/>
  <c r="H80" i="1"/>
  <c r="J28" i="1" s="1"/>
  <c r="M28" i="1" s="1"/>
  <c r="U28" i="1"/>
  <c r="H137" i="1"/>
  <c r="J47" i="1" s="1"/>
  <c r="U47" i="1"/>
  <c r="H143" i="1"/>
  <c r="J49" i="1" s="1"/>
  <c r="M49" i="1" s="1"/>
  <c r="H35" i="1"/>
  <c r="J13" i="1" s="1"/>
  <c r="U13" i="1"/>
  <c r="H8" i="1"/>
  <c r="J4" i="1" s="1"/>
  <c r="M4" i="1" s="1"/>
  <c r="U4" i="1"/>
  <c r="H65" i="1"/>
  <c r="J23" i="1" s="1"/>
  <c r="U23" i="1"/>
  <c r="H140" i="1"/>
  <c r="J48" i="1" s="1"/>
  <c r="M48" i="1" s="1"/>
  <c r="U48" i="1"/>
  <c r="H59" i="1"/>
  <c r="J21" i="1" s="1"/>
  <c r="M21" i="1" s="1"/>
  <c r="U21" i="1"/>
  <c r="H74" i="1"/>
  <c r="J26" i="1" s="1"/>
  <c r="U26" i="1"/>
  <c r="H38" i="1"/>
  <c r="J14" i="1" s="1"/>
  <c r="M14" i="1" s="1"/>
  <c r="U14" i="1"/>
  <c r="H5" i="1"/>
  <c r="J3" i="1" s="1"/>
  <c r="M3" i="1" s="1"/>
  <c r="U3" i="1"/>
  <c r="H20" i="1"/>
  <c r="J8" i="1" s="1"/>
  <c r="U8" i="1"/>
  <c r="G102" i="1"/>
  <c r="H102" i="1" s="1"/>
  <c r="K35" i="1" s="1"/>
  <c r="N35" i="1" s="1"/>
  <c r="Q35" i="1" s="1"/>
  <c r="N102" i="5"/>
  <c r="N140" i="5"/>
  <c r="E140" i="5"/>
  <c r="E140" i="24" s="1"/>
  <c r="N90" i="5"/>
  <c r="E90" i="5"/>
  <c r="E90" i="24" s="1"/>
  <c r="E27" i="5"/>
  <c r="E27" i="24" s="1"/>
  <c r="N27" i="5"/>
  <c r="N150" i="5"/>
  <c r="E150" i="5"/>
  <c r="E150" i="24" s="1"/>
  <c r="G112" i="1"/>
  <c r="H112" i="1" s="1"/>
  <c r="L38" i="1" s="1"/>
  <c r="O38" i="1" s="1"/>
  <c r="N110" i="5"/>
  <c r="E110" i="5"/>
  <c r="E110" i="24" s="1"/>
  <c r="E65" i="5"/>
  <c r="E65" i="24" s="1"/>
  <c r="E51" i="5"/>
  <c r="E51" i="24" s="1"/>
  <c r="N111" i="5"/>
  <c r="E111" i="5"/>
  <c r="E111" i="24" s="1"/>
  <c r="N51" i="5"/>
  <c r="N65" i="5"/>
  <c r="N89" i="5"/>
  <c r="E89" i="5"/>
  <c r="E89" i="24" s="1"/>
  <c r="E112" i="5"/>
  <c r="E112" i="24" s="1"/>
  <c r="N149" i="5"/>
  <c r="E149" i="5"/>
  <c r="E149" i="24" s="1"/>
  <c r="E116" i="5"/>
  <c r="E116" i="24" s="1"/>
  <c r="N116" i="5"/>
  <c r="N12" i="5"/>
  <c r="E13" i="5"/>
  <c r="E13" i="24" s="1"/>
  <c r="N13" i="5"/>
  <c r="E70" i="5"/>
  <c r="E70" i="24" s="1"/>
  <c r="E12" i="5"/>
  <c r="E12" i="24" s="1"/>
  <c r="G70" i="1"/>
  <c r="H70" i="1" s="1"/>
  <c r="L24" i="1" s="1"/>
  <c r="O24" i="1" s="1"/>
  <c r="E151" i="5"/>
  <c r="E151" i="24" s="1"/>
  <c r="N17" i="5"/>
  <c r="N151" i="5"/>
  <c r="N20" i="5"/>
  <c r="E20" i="5"/>
  <c r="E20" i="24" s="1"/>
  <c r="N62" i="5"/>
  <c r="E62" i="5"/>
  <c r="E62" i="24" s="1"/>
  <c r="E55" i="5"/>
  <c r="E55" i="24" s="1"/>
  <c r="N55" i="5"/>
  <c r="E17" i="5"/>
  <c r="E17" i="24" s="1"/>
  <c r="N19" i="5"/>
  <c r="E19" i="5"/>
  <c r="E19" i="24" s="1"/>
  <c r="N79" i="5"/>
  <c r="E79" i="5"/>
  <c r="E79" i="24" s="1"/>
  <c r="E83" i="5"/>
  <c r="E83" i="24" s="1"/>
  <c r="N138" i="5"/>
  <c r="E113" i="5"/>
  <c r="E113" i="24" s="1"/>
  <c r="N49" i="5"/>
  <c r="E49" i="5"/>
  <c r="E49" i="24" s="1"/>
  <c r="N8" i="5"/>
  <c r="E8" i="5"/>
  <c r="E8" i="24" s="1"/>
  <c r="E138" i="5"/>
  <c r="E138" i="24" s="1"/>
  <c r="N83" i="5"/>
  <c r="N136" i="5"/>
  <c r="E136" i="5"/>
  <c r="E136" i="24" s="1"/>
  <c r="N2" i="5"/>
  <c r="N67" i="5"/>
  <c r="E67" i="5"/>
  <c r="E67" i="24" s="1"/>
  <c r="E117" i="5"/>
  <c r="E117" i="24" s="1"/>
  <c r="N117" i="5"/>
  <c r="N71" i="5"/>
  <c r="E71" i="5"/>
  <c r="E71" i="24" s="1"/>
  <c r="N113" i="5"/>
  <c r="N57" i="5"/>
  <c r="N16" i="5"/>
  <c r="E57" i="5"/>
  <c r="E57" i="24" s="1"/>
  <c r="G128" i="1"/>
  <c r="N11" i="5"/>
  <c r="E44" i="5"/>
  <c r="E44" i="24" s="1"/>
  <c r="E25" i="5"/>
  <c r="E25" i="24" s="1"/>
  <c r="G25" i="1"/>
  <c r="H25" i="1" s="1"/>
  <c r="L9" i="1" s="1"/>
  <c r="O9" i="1" s="1"/>
  <c r="N44" i="5"/>
  <c r="E33" i="5"/>
  <c r="E33" i="24" s="1"/>
  <c r="N54" i="5"/>
  <c r="E54" i="5"/>
  <c r="E54" i="24" s="1"/>
  <c r="N73" i="5"/>
  <c r="E30" i="5"/>
  <c r="E30" i="24" s="1"/>
  <c r="G30" i="1"/>
  <c r="H30" i="1" s="1"/>
  <c r="K11" i="1" s="1"/>
  <c r="N11" i="1" s="1"/>
  <c r="Q11" i="1" s="1"/>
  <c r="E128" i="5"/>
  <c r="E128" i="24" s="1"/>
  <c r="E73" i="5"/>
  <c r="E73" i="24" s="1"/>
  <c r="N132" i="5"/>
  <c r="E132" i="5"/>
  <c r="E132" i="24" s="1"/>
  <c r="E124" i="5"/>
  <c r="E124" i="24" s="1"/>
  <c r="N142" i="5"/>
  <c r="E142" i="5"/>
  <c r="E142" i="24" s="1"/>
  <c r="N41" i="5"/>
  <c r="E41" i="5"/>
  <c r="E41" i="24" s="1"/>
  <c r="E26" i="5"/>
  <c r="E26" i="24" s="1"/>
  <c r="N120" i="5"/>
  <c r="N26" i="5"/>
  <c r="E64" i="5"/>
  <c r="E64" i="24" s="1"/>
  <c r="N3" i="5"/>
  <c r="E3" i="5"/>
  <c r="E3" i="24" s="1"/>
  <c r="E2" i="5"/>
  <c r="E2" i="24" s="1"/>
  <c r="E72" i="5"/>
  <c r="E72" i="24" s="1"/>
  <c r="G72" i="1"/>
  <c r="H72" i="1" s="1"/>
  <c r="K25" i="1" s="1"/>
  <c r="N25" i="1" s="1"/>
  <c r="Q25" i="1" s="1"/>
  <c r="E11" i="5"/>
  <c r="E11" i="24" s="1"/>
  <c r="G124" i="1"/>
  <c r="H124" i="1" s="1"/>
  <c r="L42" i="1" s="1"/>
  <c r="O42" i="1" s="1"/>
  <c r="E16" i="5"/>
  <c r="E16" i="24" s="1"/>
  <c r="E43" i="5"/>
  <c r="E43" i="24" s="1"/>
  <c r="G43" i="1"/>
  <c r="H43" i="1" s="1"/>
  <c r="L15" i="1" s="1"/>
  <c r="O15" i="1" s="1"/>
  <c r="N104" i="5"/>
  <c r="N125" i="5"/>
  <c r="E87" i="5"/>
  <c r="E87" i="24" s="1"/>
  <c r="E125" i="5"/>
  <c r="E125" i="24" s="1"/>
  <c r="N87" i="5"/>
  <c r="N133" i="5"/>
  <c r="E133" i="5"/>
  <c r="E133" i="24" s="1"/>
  <c r="N33" i="5"/>
  <c r="E127" i="5"/>
  <c r="E127" i="24" s="1"/>
  <c r="N75" i="5"/>
  <c r="N127" i="5"/>
  <c r="E75" i="5"/>
  <c r="E75" i="24" s="1"/>
  <c r="G58" i="1"/>
  <c r="H58" i="1" s="1"/>
  <c r="L20" i="1" s="1"/>
  <c r="O20" i="1" s="1"/>
  <c r="E58" i="5"/>
  <c r="E58" i="24" s="1"/>
  <c r="E104" i="5"/>
  <c r="E104" i="24" s="1"/>
  <c r="E121" i="5"/>
  <c r="E121" i="24" s="1"/>
  <c r="N139" i="5"/>
  <c r="E139" i="5"/>
  <c r="E139" i="24" s="1"/>
  <c r="E131" i="5"/>
  <c r="E131" i="24" s="1"/>
  <c r="N93" i="5"/>
  <c r="N131" i="5"/>
  <c r="N103" i="5"/>
  <c r="E103" i="5"/>
  <c r="E103" i="24" s="1"/>
  <c r="E120" i="5"/>
  <c r="E120" i="24" s="1"/>
  <c r="E93" i="5"/>
  <c r="E93" i="24" s="1"/>
  <c r="E99" i="5"/>
  <c r="E99" i="24" s="1"/>
  <c r="N100" i="5"/>
  <c r="N48" i="5"/>
  <c r="E100" i="5"/>
  <c r="E100" i="24" s="1"/>
  <c r="N59" i="5"/>
  <c r="N50" i="5"/>
  <c r="N18" i="5"/>
  <c r="E18" i="5"/>
  <c r="E18" i="24" s="1"/>
  <c r="E106" i="5"/>
  <c r="E106" i="24" s="1"/>
  <c r="G24" i="1"/>
  <c r="H24" i="1" s="1"/>
  <c r="K9" i="1" s="1"/>
  <c r="N9" i="1" s="1"/>
  <c r="E95" i="5"/>
  <c r="E95" i="24" s="1"/>
  <c r="E50" i="5"/>
  <c r="E50" i="24" s="1"/>
  <c r="N24" i="5"/>
  <c r="N52" i="5"/>
  <c r="N34" i="5"/>
  <c r="E52" i="5"/>
  <c r="E52" i="24" s="1"/>
  <c r="N106" i="5"/>
  <c r="G78" i="1"/>
  <c r="H78" i="1" s="1"/>
  <c r="K27" i="1" s="1"/>
  <c r="N27" i="1" s="1"/>
  <c r="Q27" i="1" s="1"/>
  <c r="N37" i="5"/>
  <c r="N85" i="5"/>
  <c r="E37" i="5"/>
  <c r="E37" i="24" s="1"/>
  <c r="E85" i="5"/>
  <c r="E85" i="24" s="1"/>
  <c r="N39" i="5"/>
  <c r="E34" i="5"/>
  <c r="E34" i="24" s="1"/>
  <c r="E81" i="5"/>
  <c r="E81" i="24" s="1"/>
  <c r="E36" i="5"/>
  <c r="E36" i="24" s="1"/>
  <c r="E115" i="5"/>
  <c r="E115" i="24" s="1"/>
  <c r="E39" i="5"/>
  <c r="E39" i="24" s="1"/>
  <c r="G101" i="1"/>
  <c r="N36" i="5"/>
  <c r="N115" i="5"/>
  <c r="E101" i="5"/>
  <c r="E101" i="24" s="1"/>
  <c r="N63" i="5"/>
  <c r="E63" i="5"/>
  <c r="E63" i="24" s="1"/>
  <c r="E145" i="5"/>
  <c r="E145" i="24" s="1"/>
  <c r="G145" i="1"/>
  <c r="H145" i="1" s="1"/>
  <c r="L49" i="1" s="1"/>
  <c r="O49" i="1" s="1"/>
  <c r="N121" i="5"/>
  <c r="N64" i="5"/>
  <c r="N81" i="5"/>
  <c r="N92" i="5"/>
  <c r="N61" i="5"/>
  <c r="E61" i="5"/>
  <c r="E61" i="24" s="1"/>
  <c r="E59" i="5"/>
  <c r="E59" i="24" s="1"/>
  <c r="N78" i="5"/>
  <c r="N28" i="5"/>
  <c r="E28" i="5"/>
  <c r="E28" i="24" s="1"/>
  <c r="E119" i="5"/>
  <c r="E119" i="24" s="1"/>
  <c r="N148" i="5"/>
  <c r="E148" i="5"/>
  <c r="E148" i="24" s="1"/>
  <c r="N35" i="5"/>
  <c r="E147" i="5"/>
  <c r="E147" i="24" s="1"/>
  <c r="E35" i="5"/>
  <c r="E35" i="24" s="1"/>
  <c r="E22" i="5"/>
  <c r="E22" i="24" s="1"/>
  <c r="E60" i="5"/>
  <c r="E60" i="24" s="1"/>
  <c r="E47" i="5"/>
  <c r="E47" i="24" s="1"/>
  <c r="N96" i="5"/>
  <c r="N56" i="5"/>
  <c r="E96" i="5"/>
  <c r="E96" i="24" s="1"/>
  <c r="E56" i="5"/>
  <c r="E56" i="24" s="1"/>
  <c r="E92" i="5"/>
  <c r="E92" i="24" s="1"/>
  <c r="N5" i="5"/>
  <c r="E5" i="5"/>
  <c r="E5" i="24" s="1"/>
  <c r="N95" i="5"/>
  <c r="E135" i="5"/>
  <c r="E135" i="24" s="1"/>
  <c r="N147" i="5"/>
  <c r="N99" i="5"/>
  <c r="N66" i="5"/>
  <c r="N47" i="5"/>
  <c r="N97" i="5"/>
  <c r="E97" i="5"/>
  <c r="E97" i="24" s="1"/>
  <c r="E46" i="5"/>
  <c r="E46" i="24" s="1"/>
  <c r="E48" i="5"/>
  <c r="E48" i="24" s="1"/>
  <c r="N40" i="5"/>
  <c r="E129" i="5"/>
  <c r="E129" i="24" s="1"/>
  <c r="E40" i="5"/>
  <c r="E40" i="24" s="1"/>
  <c r="N46" i="5"/>
  <c r="N122" i="5"/>
  <c r="E122" i="5"/>
  <c r="E122" i="24" s="1"/>
  <c r="N135" i="5"/>
  <c r="N84" i="5"/>
  <c r="G84" i="1"/>
  <c r="H84" i="1" s="1"/>
  <c r="K29" i="1" s="1"/>
  <c r="N29" i="1" s="1"/>
  <c r="E29" i="5"/>
  <c r="E29" i="24" s="1"/>
  <c r="G29" i="1"/>
  <c r="N10" i="5"/>
  <c r="E10" i="5"/>
  <c r="E10" i="24" s="1"/>
  <c r="N108" i="5"/>
  <c r="E108" i="5"/>
  <c r="E108" i="24" s="1"/>
  <c r="N119" i="5"/>
  <c r="N22" i="5"/>
  <c r="E21" i="5"/>
  <c r="E21" i="24" s="1"/>
  <c r="N21" i="5"/>
  <c r="E86" i="5"/>
  <c r="E86" i="24" s="1"/>
  <c r="G86" i="1"/>
  <c r="G53" i="1"/>
  <c r="N143" i="5"/>
  <c r="E143" i="5"/>
  <c r="E143" i="24" s="1"/>
  <c r="E53" i="5"/>
  <c r="E53" i="24" s="1"/>
  <c r="N118" i="5"/>
  <c r="N9" i="5"/>
  <c r="N129" i="5"/>
  <c r="N126" i="5"/>
  <c r="N15" i="5"/>
  <c r="E15" i="5"/>
  <c r="E15" i="24" s="1"/>
  <c r="N38" i="5"/>
  <c r="E69" i="5"/>
  <c r="E69" i="24" s="1"/>
  <c r="N88" i="5"/>
  <c r="G144" i="1"/>
  <c r="H144" i="1" s="1"/>
  <c r="K49" i="1" s="1"/>
  <c r="N49" i="1" s="1"/>
  <c r="E88" i="5"/>
  <c r="E88" i="24" s="1"/>
  <c r="N7" i="5"/>
  <c r="N123" i="5"/>
  <c r="E7" i="5"/>
  <c r="E7" i="24" s="1"/>
  <c r="E123" i="5"/>
  <c r="E123" i="24" s="1"/>
  <c r="N144" i="5"/>
  <c r="N60" i="5"/>
  <c r="G118" i="1"/>
  <c r="H118" i="1" s="1"/>
  <c r="L40" i="1" s="1"/>
  <c r="O40" i="1" s="1"/>
  <c r="N130" i="5"/>
  <c r="N69" i="5"/>
  <c r="N42" i="5"/>
  <c r="G105" i="1"/>
  <c r="H105" i="1" s="1"/>
  <c r="K36" i="1" s="1"/>
  <c r="N36" i="1" s="1"/>
  <c r="Q36" i="1" s="1"/>
  <c r="N105" i="5"/>
  <c r="N114" i="5"/>
  <c r="E126" i="5"/>
  <c r="E126" i="24" s="1"/>
  <c r="E38" i="5"/>
  <c r="E38" i="24" s="1"/>
  <c r="E9" i="5"/>
  <c r="E9" i="24" s="1"/>
  <c r="E114" i="5"/>
  <c r="E114" i="24" s="1"/>
  <c r="G130" i="1"/>
  <c r="H130" i="1" s="1"/>
  <c r="L44" i="1" s="1"/>
  <c r="O44" i="1" s="1"/>
  <c r="N134" i="5"/>
  <c r="E134" i="5"/>
  <c r="E134" i="24" s="1"/>
  <c r="E32" i="5"/>
  <c r="E32" i="24" s="1"/>
  <c r="N80" i="5"/>
  <c r="N4" i="5"/>
  <c r="E42" i="5"/>
  <c r="E42" i="24" s="1"/>
  <c r="E80" i="5"/>
  <c r="E80" i="24" s="1"/>
  <c r="E146" i="5"/>
  <c r="E146" i="24" s="1"/>
  <c r="N141" i="5"/>
  <c r="E4" i="5"/>
  <c r="E4" i="24" s="1"/>
  <c r="E141" i="5"/>
  <c r="E141" i="24" s="1"/>
  <c r="N32" i="5"/>
  <c r="N107" i="5"/>
  <c r="E76" i="5"/>
  <c r="E76" i="24" s="1"/>
  <c r="N76" i="5"/>
  <c r="N23" i="5"/>
  <c r="N146" i="5"/>
  <c r="E23" i="5"/>
  <c r="E23" i="24" s="1"/>
  <c r="E109" i="5"/>
  <c r="E109" i="24" s="1"/>
  <c r="E6" i="5"/>
  <c r="E6" i="24" s="1"/>
  <c r="N77" i="5"/>
  <c r="E77" i="5"/>
  <c r="E77" i="24" s="1"/>
  <c r="E31" i="5"/>
  <c r="E31" i="24" s="1"/>
  <c r="E66" i="5"/>
  <c r="E66" i="24" s="1"/>
  <c r="N98" i="5"/>
  <c r="E98" i="5"/>
  <c r="E98" i="24" s="1"/>
  <c r="N137" i="5"/>
  <c r="E137" i="5"/>
  <c r="E137" i="24" s="1"/>
  <c r="N14" i="5"/>
  <c r="E14" i="5"/>
  <c r="E14" i="24" s="1"/>
  <c r="N94" i="5"/>
  <c r="E94" i="5"/>
  <c r="E94" i="24" s="1"/>
  <c r="N6" i="5"/>
  <c r="N31" i="5"/>
  <c r="N74" i="5"/>
  <c r="E74" i="5"/>
  <c r="E74" i="24" s="1"/>
  <c r="E107" i="5"/>
  <c r="E107" i="24" s="1"/>
  <c r="N45" i="5"/>
  <c r="N109" i="5"/>
  <c r="E82" i="5"/>
  <c r="E82" i="24" s="1"/>
  <c r="N82" i="5"/>
  <c r="N68" i="5"/>
  <c r="G68" i="1"/>
  <c r="E45" i="5"/>
  <c r="E45" i="24" s="1"/>
  <c r="L13" i="6"/>
  <c r="AI20" i="1"/>
  <c r="G56" i="5" s="1"/>
  <c r="AI49" i="1"/>
  <c r="G143" i="5" s="1"/>
  <c r="H143" i="5" s="1"/>
  <c r="AI35" i="1"/>
  <c r="G101" i="5" s="1"/>
  <c r="N10" i="1"/>
  <c r="Q10" i="1" s="1"/>
  <c r="O26" i="1"/>
  <c r="N16" i="1"/>
  <c r="Q16" i="1" s="1"/>
  <c r="K40" i="1"/>
  <c r="AB40" i="1"/>
  <c r="AG40" i="1"/>
  <c r="O35" i="1"/>
  <c r="M36" i="55"/>
  <c r="O36" i="55" s="1"/>
  <c r="P40" i="55"/>
  <c r="M43" i="55" s="1"/>
  <c r="O43" i="55" s="1"/>
  <c r="M50" i="55"/>
  <c r="O50" i="55" s="1"/>
  <c r="M29" i="55"/>
  <c r="O29" i="55" s="1"/>
  <c r="P5" i="55"/>
  <c r="S5" i="55" s="1"/>
  <c r="P12" i="55"/>
  <c r="M15" i="55" s="1"/>
  <c r="O15" i="55" s="1"/>
  <c r="P19" i="55"/>
  <c r="S19" i="55" s="1"/>
  <c r="K44" i="1"/>
  <c r="N44" i="1" s="1"/>
  <c r="K50" i="1"/>
  <c r="N50" i="1" s="1"/>
  <c r="Q50" i="1" s="1"/>
  <c r="L7" i="1"/>
  <c r="O7" i="1" s="1"/>
  <c r="J32" i="1"/>
  <c r="M32" i="1" s="1"/>
  <c r="L29" i="1"/>
  <c r="O10" i="1"/>
  <c r="N51" i="1"/>
  <c r="Q51" i="1" s="1"/>
  <c r="O11" i="1"/>
  <c r="N47" i="1"/>
  <c r="Q47" i="1" s="1"/>
  <c r="N3" i="1"/>
  <c r="Q3" i="1" s="1"/>
  <c r="N21" i="1"/>
  <c r="Q21" i="1" s="1"/>
  <c r="M25" i="1"/>
  <c r="N41" i="1"/>
  <c r="Q41" i="1" s="1"/>
  <c r="O41" i="1"/>
  <c r="O43" i="1"/>
  <c r="O48" i="1"/>
  <c r="O33" i="1"/>
  <c r="O13" i="1"/>
  <c r="O31" i="1"/>
  <c r="N43" i="1"/>
  <c r="Q43" i="1" s="1"/>
  <c r="N45" i="1"/>
  <c r="Q45" i="1" s="1"/>
  <c r="O22" i="1"/>
  <c r="N34" i="1"/>
  <c r="Q34" i="1" s="1"/>
  <c r="O16" i="1"/>
  <c r="N13" i="1"/>
  <c r="Q13" i="1" s="1"/>
  <c r="N18" i="1"/>
  <c r="Q18" i="1" s="1"/>
  <c r="O47" i="1"/>
  <c r="O21" i="1"/>
  <c r="O18" i="1"/>
  <c r="O45" i="1"/>
  <c r="N33" i="1"/>
  <c r="Q33" i="1" s="1"/>
  <c r="M18" i="1"/>
  <c r="AB16" i="1"/>
  <c r="AD50" i="1"/>
  <c r="AG50" i="1" s="1"/>
  <c r="AC31" i="1"/>
  <c r="AF31" i="1" s="1"/>
  <c r="AB51" i="1"/>
  <c r="AC12" i="1"/>
  <c r="AF12" i="1" s="1"/>
  <c r="N28" i="1"/>
  <c r="Q28" i="1" s="1"/>
  <c r="AC50" i="1"/>
  <c r="AF50" i="1" s="1"/>
  <c r="AC32" i="1"/>
  <c r="AF32" i="1" s="1"/>
  <c r="O36" i="1"/>
  <c r="AC42" i="1"/>
  <c r="AF42" i="1" s="1"/>
  <c r="AD2" i="1"/>
  <c r="AG2" i="1" s="1"/>
  <c r="AB7" i="1"/>
  <c r="AB46" i="1"/>
  <c r="AB38" i="1"/>
  <c r="AC26" i="1"/>
  <c r="AF26" i="1" s="1"/>
  <c r="O6" i="1"/>
  <c r="K6" i="1"/>
  <c r="O5" i="1"/>
  <c r="AC37" i="1"/>
  <c r="AF37" i="1" s="1"/>
  <c r="O14" i="1"/>
  <c r="AB53" i="1"/>
  <c r="AC46" i="1"/>
  <c r="AF46" i="1" s="1"/>
  <c r="AB4" i="1"/>
  <c r="AB18" i="1"/>
  <c r="O8" i="1"/>
  <c r="AB32" i="1"/>
  <c r="N8" i="1"/>
  <c r="Q8" i="1" s="1"/>
  <c r="O27" i="1"/>
  <c r="AD38" i="1"/>
  <c r="AG38" i="1" s="1"/>
  <c r="N12" i="1"/>
  <c r="Q12" i="1" s="1"/>
  <c r="AC9" i="1"/>
  <c r="AF9" i="1" s="1"/>
  <c r="N32" i="1"/>
  <c r="Q32" i="1" s="1"/>
  <c r="AD36" i="1"/>
  <c r="AG36" i="1" s="1"/>
  <c r="N42" i="1"/>
  <c r="AB3" i="1"/>
  <c r="O2" i="1"/>
  <c r="AC38" i="1"/>
  <c r="AF38" i="1" s="1"/>
  <c r="AB26" i="1"/>
  <c r="AG26" i="1"/>
  <c r="N26" i="1"/>
  <c r="Q26" i="1" s="1"/>
  <c r="K14" i="1"/>
  <c r="AB36" i="1"/>
  <c r="AB23" i="1"/>
  <c r="AD41" i="1"/>
  <c r="AG41" i="1" s="1"/>
  <c r="AD14" i="1"/>
  <c r="AG14" i="1" s="1"/>
  <c r="AC33" i="1"/>
  <c r="AF33" i="1" s="1"/>
  <c r="AE17" i="1"/>
  <c r="AH17" i="1" s="1"/>
  <c r="AC17" i="1"/>
  <c r="AF17" i="1" s="1"/>
  <c r="AD46" i="1"/>
  <c r="AG46" i="1" s="1"/>
  <c r="N31" i="1"/>
  <c r="Q31" i="1" s="1"/>
  <c r="AD24" i="1"/>
  <c r="AG24" i="1" s="1"/>
  <c r="AC44" i="1"/>
  <c r="AE44" i="1"/>
  <c r="AH44" i="1" s="1"/>
  <c r="AD48" i="1"/>
  <c r="AG48" i="1" s="1"/>
  <c r="AD8" i="1"/>
  <c r="AG8" i="1" s="1"/>
  <c r="AC8" i="1"/>
  <c r="AF8" i="1" s="1"/>
  <c r="AD27" i="1"/>
  <c r="AG27" i="1" s="1"/>
  <c r="O3" i="1"/>
  <c r="O34" i="1"/>
  <c r="AD12" i="1"/>
  <c r="AG12" i="1" s="1"/>
  <c r="AB2" i="1"/>
  <c r="N38" i="1"/>
  <c r="AB12" i="1"/>
  <c r="AD52" i="1"/>
  <c r="AG52" i="1" s="1"/>
  <c r="AB47" i="1"/>
  <c r="AC14" i="1"/>
  <c r="AE14" i="1"/>
  <c r="AH14" i="1" s="1"/>
  <c r="AE39" i="1"/>
  <c r="AH39" i="1" s="1"/>
  <c r="AC39" i="1"/>
  <c r="AD47" i="1"/>
  <c r="AG47" i="1" s="1"/>
  <c r="AC3" i="1"/>
  <c r="AF3" i="1" s="1"/>
  <c r="AC11" i="1"/>
  <c r="AF11" i="1" s="1"/>
  <c r="AB21" i="1"/>
  <c r="K17" i="1"/>
  <c r="AD33" i="1"/>
  <c r="AG33" i="1" s="1"/>
  <c r="O46" i="1"/>
  <c r="AB13" i="1"/>
  <c r="AB9" i="1"/>
  <c r="AF10" i="1"/>
  <c r="AD10" i="1"/>
  <c r="AG10" i="1" s="1"/>
  <c r="K48" i="1"/>
  <c r="AD3" i="1"/>
  <c r="AG3" i="1" s="1"/>
  <c r="AD34" i="1"/>
  <c r="AG34" i="1" s="1"/>
  <c r="O12" i="1"/>
  <c r="AB19" i="1"/>
  <c r="AC15" i="1"/>
  <c r="AF15" i="1" s="1"/>
  <c r="AC47" i="1"/>
  <c r="AF47" i="1" s="1"/>
  <c r="AD11" i="1"/>
  <c r="AG11" i="1" s="1"/>
  <c r="AC43" i="1"/>
  <c r="AF43" i="1" s="1"/>
  <c r="AB8" i="1"/>
  <c r="O32" i="1"/>
  <c r="AB5" i="1"/>
  <c r="AF16" i="1"/>
  <c r="AD16" i="1"/>
  <c r="AG16" i="1" s="1"/>
  <c r="K39" i="1"/>
  <c r="AD43" i="1"/>
  <c r="AG43" i="1" s="1"/>
  <c r="AC21" i="1"/>
  <c r="AF21" i="1" s="1"/>
  <c r="AB45" i="1"/>
  <c r="AC13" i="1"/>
  <c r="AF13" i="1" s="1"/>
  <c r="AB37" i="1"/>
  <c r="AB41" i="1"/>
  <c r="AD17" i="1"/>
  <c r="AG17" i="1" s="1"/>
  <c r="AC4" i="1"/>
  <c r="AF4" i="1" s="1"/>
  <c r="AB43" i="1"/>
  <c r="N46" i="1"/>
  <c r="Q46" i="1" s="1"/>
  <c r="AD25" i="1"/>
  <c r="AG25" i="1" s="1"/>
  <c r="O17" i="1"/>
  <c r="AE48" i="1"/>
  <c r="AH48" i="1" s="1"/>
  <c r="AC48" i="1"/>
  <c r="AD21" i="1"/>
  <c r="AG21" i="1" s="1"/>
  <c r="AD42" i="1"/>
  <c r="AG42" i="1" s="1"/>
  <c r="AF7" i="1"/>
  <c r="AD7" i="1"/>
  <c r="AG7" i="1" s="1"/>
  <c r="N15" i="1"/>
  <c r="O51" i="1"/>
  <c r="AC2" i="1"/>
  <c r="AF2" i="1" s="1"/>
  <c r="AB25" i="1"/>
  <c r="AC53" i="1"/>
  <c r="AF53" i="1" s="1"/>
  <c r="AD32" i="1"/>
  <c r="AG32" i="1" s="1"/>
  <c r="J5" i="1"/>
  <c r="AD53" i="1"/>
  <c r="AG53" i="1" s="1"/>
  <c r="N19" i="1"/>
  <c r="AB28" i="1"/>
  <c r="AD29" i="1"/>
  <c r="AG29" i="1" s="1"/>
  <c r="AF29" i="1"/>
  <c r="O37" i="1"/>
  <c r="AD31" i="1"/>
  <c r="AG31" i="1" s="1"/>
  <c r="AB52" i="1"/>
  <c r="AC45" i="1"/>
  <c r="AF45" i="1" s="1"/>
  <c r="AB33" i="1"/>
  <c r="AC18" i="1"/>
  <c r="AF18" i="1" s="1"/>
  <c r="N4" i="1"/>
  <c r="Q4" i="1" s="1"/>
  <c r="O25" i="1"/>
  <c r="AB31" i="1"/>
  <c r="N23" i="1"/>
  <c r="Q23" i="1" s="1"/>
  <c r="N22" i="1"/>
  <c r="Q22" i="1" s="1"/>
  <c r="O30" i="1"/>
  <c r="AC41" i="1"/>
  <c r="AF41" i="1" s="1"/>
  <c r="AD39" i="1"/>
  <c r="AG39" i="1" s="1"/>
  <c r="O4" i="1"/>
  <c r="AD51" i="1"/>
  <c r="AG51" i="1" s="1"/>
  <c r="N2" i="1"/>
  <c r="Q2" i="1" s="1"/>
  <c r="AD9" i="1"/>
  <c r="AG9" i="1" s="1"/>
  <c r="L19" i="1"/>
  <c r="AD18" i="1"/>
  <c r="AG18" i="1" s="1"/>
  <c r="AC19" i="1"/>
  <c r="AF19" i="1" s="1"/>
  <c r="AC34" i="1"/>
  <c r="AF34" i="1" s="1"/>
  <c r="AB10" i="1"/>
  <c r="AD37" i="1"/>
  <c r="AG37" i="1" s="1"/>
  <c r="AB22" i="1"/>
  <c r="AB27" i="1"/>
  <c r="O50" i="1"/>
  <c r="AD15" i="1"/>
  <c r="AG15" i="1" s="1"/>
  <c r="AC23" i="1"/>
  <c r="AF23" i="1" s="1"/>
  <c r="AC22" i="1"/>
  <c r="AF22" i="1" s="1"/>
  <c r="AE30" i="1"/>
  <c r="AH30" i="1" s="1"/>
  <c r="AC30" i="1"/>
  <c r="O23" i="1"/>
  <c r="AD30" i="1"/>
  <c r="AG30" i="1" s="1"/>
  <c r="AE24" i="1"/>
  <c r="AH24" i="1" s="1"/>
  <c r="AC24" i="1"/>
  <c r="AF24" i="1" s="1"/>
  <c r="O39" i="1"/>
  <c r="AD4" i="1"/>
  <c r="AG4" i="1" s="1"/>
  <c r="J42" i="1"/>
  <c r="AD22" i="1"/>
  <c r="AG22" i="1" s="1"/>
  <c r="AD19" i="1"/>
  <c r="AG19" i="1" s="1"/>
  <c r="AC27" i="1"/>
  <c r="AF27" i="1" s="1"/>
  <c r="AB34" i="1"/>
  <c r="AD45" i="1"/>
  <c r="AG45" i="1" s="1"/>
  <c r="AC5" i="1"/>
  <c r="AF5" i="1" s="1"/>
  <c r="AD28" i="1"/>
  <c r="AG28" i="1" s="1"/>
  <c r="AB29" i="1"/>
  <c r="N30" i="1"/>
  <c r="Q30" i="1" s="1"/>
  <c r="AD23" i="1"/>
  <c r="AG23" i="1" s="1"/>
  <c r="AC25" i="1"/>
  <c r="AF25" i="1" s="1"/>
  <c r="AC28" i="1"/>
  <c r="AF28" i="1" s="1"/>
  <c r="AB11" i="1"/>
  <c r="AC36" i="1"/>
  <c r="AF36" i="1" s="1"/>
  <c r="K24" i="1"/>
  <c r="AC52" i="1"/>
  <c r="AF52" i="1" s="1"/>
  <c r="AB42" i="1"/>
  <c r="AB15" i="1"/>
  <c r="AD6" i="1"/>
  <c r="AG6" i="1" s="1"/>
  <c r="AC6" i="1"/>
  <c r="AE6" i="1"/>
  <c r="AH6" i="1" s="1"/>
  <c r="AD5" i="1"/>
  <c r="AG5" i="1" s="1"/>
  <c r="AD13" i="1"/>
  <c r="AG13" i="1" s="1"/>
  <c r="N37" i="1"/>
  <c r="Q37" i="1" s="1"/>
  <c r="AC51" i="1"/>
  <c r="AF51" i="1" s="1"/>
  <c r="AB50" i="1"/>
  <c r="N5" i="1"/>
  <c r="Q5" i="1" s="1"/>
  <c r="O28" i="1"/>
  <c r="R39" i="1" l="1"/>
  <c r="R25" i="1"/>
  <c r="R16" i="1"/>
  <c r="R7" i="1"/>
  <c r="R18" i="1"/>
  <c r="R10" i="1"/>
  <c r="R28" i="1"/>
  <c r="R20" i="1"/>
  <c r="R4" i="1"/>
  <c r="R43" i="1"/>
  <c r="R14" i="1"/>
  <c r="U38" i="1"/>
  <c r="R17" i="1"/>
  <c r="R21" i="1"/>
  <c r="U49" i="1"/>
  <c r="U40" i="1"/>
  <c r="R31" i="1"/>
  <c r="R6" i="1"/>
  <c r="U42" i="1"/>
  <c r="P3" i="1"/>
  <c r="S3" i="1" s="1"/>
  <c r="P51" i="1"/>
  <c r="S51" i="1" s="1"/>
  <c r="P32" i="1"/>
  <c r="S32" i="1" s="1"/>
  <c r="P21" i="1"/>
  <c r="S21" i="1" s="1"/>
  <c r="P2" i="1"/>
  <c r="S2" i="1" s="1"/>
  <c r="P4" i="1"/>
  <c r="S4" i="1" s="1"/>
  <c r="P16" i="1"/>
  <c r="S16" i="1" s="1"/>
  <c r="H53" i="1"/>
  <c r="J19" i="1" s="1"/>
  <c r="M19" i="1" s="1"/>
  <c r="U19" i="1"/>
  <c r="H128" i="1"/>
  <c r="J44" i="1" s="1"/>
  <c r="M44" i="1" s="1"/>
  <c r="P44" i="1" s="1"/>
  <c r="S44" i="1" s="1"/>
  <c r="U44" i="1"/>
  <c r="P28" i="1"/>
  <c r="S28" i="1" s="1"/>
  <c r="T28" i="1"/>
  <c r="R3" i="1"/>
  <c r="P18" i="1"/>
  <c r="S18" i="1" s="1"/>
  <c r="R48" i="1"/>
  <c r="P20" i="1"/>
  <c r="U25" i="1"/>
  <c r="U29" i="1"/>
  <c r="U36" i="1"/>
  <c r="U9" i="1"/>
  <c r="H86" i="1"/>
  <c r="J30" i="1" s="1"/>
  <c r="M30" i="1" s="1"/>
  <c r="U30" i="1"/>
  <c r="H101" i="1"/>
  <c r="J35" i="1" s="1"/>
  <c r="M35" i="1" s="1"/>
  <c r="U35" i="1"/>
  <c r="R50" i="1"/>
  <c r="P43" i="1"/>
  <c r="S43" i="1" s="1"/>
  <c r="P10" i="1"/>
  <c r="S10" i="1" s="1"/>
  <c r="R40" i="1"/>
  <c r="H29" i="1"/>
  <c r="J11" i="1" s="1"/>
  <c r="M11" i="1" s="1"/>
  <c r="U11" i="1"/>
  <c r="R51" i="1"/>
  <c r="U20" i="1"/>
  <c r="U15" i="1"/>
  <c r="U27" i="1"/>
  <c r="P31" i="1"/>
  <c r="S31" i="1" s="1"/>
  <c r="H68" i="1"/>
  <c r="J24" i="1" s="1"/>
  <c r="M24" i="1" s="1"/>
  <c r="P24" i="1" s="1"/>
  <c r="S24" i="1" s="1"/>
  <c r="U24" i="1"/>
  <c r="Q38" i="1"/>
  <c r="Q9" i="1"/>
  <c r="Q20" i="1"/>
  <c r="Q15" i="1"/>
  <c r="P25" i="1"/>
  <c r="S25" i="1" s="1"/>
  <c r="Q42" i="1"/>
  <c r="Q49" i="1"/>
  <c r="Q29" i="1"/>
  <c r="P49" i="1"/>
  <c r="S49" i="1" s="1"/>
  <c r="Q44" i="1"/>
  <c r="AF14" i="1"/>
  <c r="AI14" i="1" s="1"/>
  <c r="G38" i="5" s="1"/>
  <c r="AF30" i="1"/>
  <c r="AI30" i="1" s="1"/>
  <c r="AI24" i="1"/>
  <c r="G68" i="5" s="1"/>
  <c r="AI17" i="1"/>
  <c r="G47" i="5" s="1"/>
  <c r="AF39" i="1"/>
  <c r="AI39" i="1" s="1"/>
  <c r="G113" i="5" s="1"/>
  <c r="AE22" i="1"/>
  <c r="AH22" i="1" s="1"/>
  <c r="AE52" i="1"/>
  <c r="AH52" i="1" s="1"/>
  <c r="AI52" i="1" s="1"/>
  <c r="AE21" i="1"/>
  <c r="AH21" i="1" s="1"/>
  <c r="AI21" i="1" s="1"/>
  <c r="G59" i="5" s="1"/>
  <c r="AE45" i="1"/>
  <c r="AH45" i="1" s="1"/>
  <c r="AE5" i="1"/>
  <c r="AH5" i="1" s="1"/>
  <c r="AE51" i="1"/>
  <c r="AH51" i="1" s="1"/>
  <c r="AE53" i="1"/>
  <c r="AH53" i="1" s="1"/>
  <c r="AE38" i="1"/>
  <c r="AH38" i="1" s="1"/>
  <c r="AE32" i="1"/>
  <c r="AH32" i="1" s="1"/>
  <c r="AE15" i="1"/>
  <c r="AH15" i="1" s="1"/>
  <c r="AE19" i="1"/>
  <c r="AH19" i="1" s="1"/>
  <c r="AE8" i="1"/>
  <c r="AH8" i="1" s="1"/>
  <c r="AE2" i="1"/>
  <c r="AH2" i="1" s="1"/>
  <c r="AE3" i="1"/>
  <c r="AH3" i="1" s="1"/>
  <c r="AE18" i="1"/>
  <c r="AH18" i="1" s="1"/>
  <c r="AE46" i="1"/>
  <c r="AH46" i="1" s="1"/>
  <c r="AI46" i="1" s="1"/>
  <c r="G134" i="5" s="1"/>
  <c r="AE27" i="1"/>
  <c r="AH27" i="1" s="1"/>
  <c r="AE23" i="1"/>
  <c r="AH23" i="1" s="1"/>
  <c r="AE13" i="1"/>
  <c r="AH13" i="1" s="1"/>
  <c r="AI13" i="1" s="1"/>
  <c r="AE4" i="1"/>
  <c r="AH4" i="1" s="1"/>
  <c r="AE25" i="1"/>
  <c r="AH25" i="1" s="1"/>
  <c r="AE43" i="1"/>
  <c r="AH43" i="1" s="1"/>
  <c r="AE41" i="1"/>
  <c r="AH41" i="1" s="1"/>
  <c r="AE28" i="1"/>
  <c r="AH28" i="1" s="1"/>
  <c r="AE47" i="1"/>
  <c r="AH47" i="1" s="1"/>
  <c r="AE36" i="1"/>
  <c r="AH36" i="1" s="1"/>
  <c r="AI36" i="1" s="1"/>
  <c r="G104" i="5" s="1"/>
  <c r="H56" i="5"/>
  <c r="G56" i="24"/>
  <c r="R26" i="1"/>
  <c r="M8" i="55"/>
  <c r="O8" i="55" s="1"/>
  <c r="M22" i="55"/>
  <c r="O22" i="55" s="1"/>
  <c r="R49" i="1"/>
  <c r="G143" i="24"/>
  <c r="P50" i="1"/>
  <c r="R9" i="1"/>
  <c r="O29" i="1"/>
  <c r="R29" i="1" s="1"/>
  <c r="AE40" i="1"/>
  <c r="AH40" i="1" s="1"/>
  <c r="P40" i="1"/>
  <c r="S40" i="1" s="1"/>
  <c r="N40" i="1"/>
  <c r="Q40" i="1" s="1"/>
  <c r="H101" i="5"/>
  <c r="G101" i="24"/>
  <c r="M26" i="1"/>
  <c r="R32" i="1"/>
  <c r="Q7" i="1"/>
  <c r="R2" i="1"/>
  <c r="AF6" i="1"/>
  <c r="AI6" i="1" s="1"/>
  <c r="R42" i="1"/>
  <c r="M42" i="1"/>
  <c r="M23" i="1"/>
  <c r="R23" i="1"/>
  <c r="R8" i="1"/>
  <c r="M8" i="1"/>
  <c r="AF44" i="1"/>
  <c r="P14" i="1"/>
  <c r="S14" i="1" s="1"/>
  <c r="N14" i="1"/>
  <c r="O19" i="1"/>
  <c r="Q19" i="1"/>
  <c r="AE29" i="1"/>
  <c r="AH29" i="1" s="1"/>
  <c r="R37" i="1"/>
  <c r="M37" i="1"/>
  <c r="R36" i="1"/>
  <c r="M36" i="1"/>
  <c r="AE26" i="1"/>
  <c r="AH26" i="1" s="1"/>
  <c r="AI26" i="1" s="1"/>
  <c r="M27" i="1"/>
  <c r="R27" i="1"/>
  <c r="R5" i="1"/>
  <c r="M5" i="1"/>
  <c r="M33" i="1"/>
  <c r="R33" i="1"/>
  <c r="N39" i="1"/>
  <c r="P39" i="1"/>
  <c r="S39" i="1" s="1"/>
  <c r="R45" i="1"/>
  <c r="M45" i="1"/>
  <c r="M22" i="1"/>
  <c r="R22" i="1"/>
  <c r="P9" i="1"/>
  <c r="S9" i="1" s="1"/>
  <c r="AE31" i="1"/>
  <c r="AH31" i="1" s="1"/>
  <c r="AE16" i="1"/>
  <c r="AH16" i="1" s="1"/>
  <c r="AI16" i="1" s="1"/>
  <c r="R38" i="1"/>
  <c r="M38" i="1"/>
  <c r="AE10" i="1"/>
  <c r="AH10" i="1" s="1"/>
  <c r="M34" i="1"/>
  <c r="R34" i="1"/>
  <c r="R12" i="1"/>
  <c r="M12" i="1"/>
  <c r="P48" i="1"/>
  <c r="S48" i="1" s="1"/>
  <c r="N48" i="1"/>
  <c r="AE11" i="1"/>
  <c r="AH11" i="1" s="1"/>
  <c r="AF48" i="1"/>
  <c r="AI48" i="1" s="1"/>
  <c r="AE33" i="1"/>
  <c r="AH33" i="1" s="1"/>
  <c r="AE50" i="1"/>
  <c r="AH50" i="1" s="1"/>
  <c r="P29" i="1"/>
  <c r="S29" i="1" s="1"/>
  <c r="AE34" i="1"/>
  <c r="AH34" i="1" s="1"/>
  <c r="P17" i="1"/>
  <c r="S17" i="1" s="1"/>
  <c r="N17" i="1"/>
  <c r="N6" i="1"/>
  <c r="Q6" i="1" s="1"/>
  <c r="P6" i="1"/>
  <c r="S6" i="1" s="1"/>
  <c r="AE42" i="1"/>
  <c r="AH42" i="1" s="1"/>
  <c r="R46" i="1"/>
  <c r="M46" i="1"/>
  <c r="N24" i="1"/>
  <c r="Q24" i="1" s="1"/>
  <c r="R41" i="1"/>
  <c r="M41" i="1"/>
  <c r="P7" i="1"/>
  <c r="S7" i="1" s="1"/>
  <c r="AE7" i="1"/>
  <c r="AH7" i="1" s="1"/>
  <c r="R13" i="1"/>
  <c r="M13" i="1"/>
  <c r="R47" i="1"/>
  <c r="M47" i="1"/>
  <c r="AE9" i="1"/>
  <c r="AH9" i="1" s="1"/>
  <c r="AE37" i="1"/>
  <c r="AH37" i="1" s="1"/>
  <c r="R15" i="1"/>
  <c r="M15" i="1"/>
  <c r="AE12" i="1"/>
  <c r="AH12" i="1" s="1"/>
  <c r="T16" i="1" l="1"/>
  <c r="F44" i="5" s="1"/>
  <c r="T31" i="1"/>
  <c r="M18" i="13" s="1"/>
  <c r="T2" i="1"/>
  <c r="F2" i="5" s="1"/>
  <c r="R19" i="1"/>
  <c r="T21" i="1"/>
  <c r="T43" i="1"/>
  <c r="T4" i="1"/>
  <c r="F8" i="5" s="1"/>
  <c r="P11" i="1"/>
  <c r="S11" i="1" s="1"/>
  <c r="T10" i="1"/>
  <c r="F26" i="5" s="1"/>
  <c r="R35" i="1"/>
  <c r="T9" i="1"/>
  <c r="R24" i="1"/>
  <c r="T24" i="1" s="1"/>
  <c r="AE11" i="13" s="1"/>
  <c r="T18" i="1"/>
  <c r="AE15" i="13" s="1"/>
  <c r="T51" i="1"/>
  <c r="F149" i="5" s="1"/>
  <c r="F149" i="24" s="1"/>
  <c r="R30" i="1"/>
  <c r="P33" i="1"/>
  <c r="S33" i="1" s="1"/>
  <c r="P15" i="1"/>
  <c r="S15" i="1" s="1"/>
  <c r="P5" i="1"/>
  <c r="S5" i="1" s="1"/>
  <c r="R44" i="1"/>
  <c r="T44" i="1" s="1"/>
  <c r="P34" i="1"/>
  <c r="S34" i="1" s="1"/>
  <c r="P26" i="1"/>
  <c r="S26" i="1" s="1"/>
  <c r="S20" i="1"/>
  <c r="T20" i="1" s="1"/>
  <c r="P35" i="1"/>
  <c r="S35" i="1" s="1"/>
  <c r="P23" i="1"/>
  <c r="S23" i="1" s="1"/>
  <c r="T6" i="1"/>
  <c r="T7" i="1"/>
  <c r="P19" i="1"/>
  <c r="T3" i="1"/>
  <c r="F5" i="5" s="1"/>
  <c r="F5" i="24" s="1"/>
  <c r="P42" i="1"/>
  <c r="S42" i="1" s="1"/>
  <c r="T25" i="1"/>
  <c r="F71" i="5" s="1"/>
  <c r="R11" i="1"/>
  <c r="T40" i="1"/>
  <c r="AE5" i="13" s="1"/>
  <c r="P30" i="1"/>
  <c r="S30" i="1" s="1"/>
  <c r="P13" i="1"/>
  <c r="S13" i="1" s="1"/>
  <c r="T32" i="1"/>
  <c r="AE8" i="13" s="1"/>
  <c r="T49" i="1"/>
  <c r="F143" i="5" s="1"/>
  <c r="F143" i="24" s="1"/>
  <c r="M39" i="13"/>
  <c r="F125" i="5"/>
  <c r="F125" i="24" s="1"/>
  <c r="AI40" i="1"/>
  <c r="G116" i="5" s="1"/>
  <c r="AI43" i="1"/>
  <c r="G125" i="5" s="1"/>
  <c r="AI41" i="1"/>
  <c r="G119" i="5" s="1"/>
  <c r="H119" i="5" s="1"/>
  <c r="AI38" i="1"/>
  <c r="G110" i="5" s="1"/>
  <c r="H110" i="5" s="1"/>
  <c r="AI27" i="1"/>
  <c r="G77" i="5" s="1"/>
  <c r="H77" i="5" s="1"/>
  <c r="AI15" i="1"/>
  <c r="G41" i="5" s="1"/>
  <c r="G41" i="24" s="1"/>
  <c r="AI51" i="1"/>
  <c r="G149" i="5" s="1"/>
  <c r="AI34" i="1"/>
  <c r="G98" i="5" s="1"/>
  <c r="AI33" i="1"/>
  <c r="G95" i="5" s="1"/>
  <c r="AI29" i="1"/>
  <c r="G83" i="5" s="1"/>
  <c r="AI32" i="1"/>
  <c r="G92" i="5" s="1"/>
  <c r="H92" i="5" s="1"/>
  <c r="AI5" i="1"/>
  <c r="G11" i="5" s="1"/>
  <c r="H11" i="5" s="1"/>
  <c r="AI22" i="1"/>
  <c r="G62" i="5" s="1"/>
  <c r="H62" i="5" s="1"/>
  <c r="AI47" i="1"/>
  <c r="G137" i="5" s="1"/>
  <c r="G137" i="24" s="1"/>
  <c r="AI25" i="1"/>
  <c r="G71" i="5" s="1"/>
  <c r="H71" i="5" s="1"/>
  <c r="AI23" i="1"/>
  <c r="G65" i="5" s="1"/>
  <c r="H65" i="5" s="1"/>
  <c r="AI8" i="1"/>
  <c r="G20" i="5" s="1"/>
  <c r="AI28" i="1"/>
  <c r="G80" i="5" s="1"/>
  <c r="G80" i="24" s="1"/>
  <c r="AI19" i="1"/>
  <c r="G53" i="5" s="1"/>
  <c r="G53" i="24" s="1"/>
  <c r="AI53" i="1"/>
  <c r="AI9" i="1"/>
  <c r="G23" i="5" s="1"/>
  <c r="AI50" i="1"/>
  <c r="G146" i="5" s="1"/>
  <c r="G140" i="5"/>
  <c r="H140" i="5" s="1"/>
  <c r="AI18" i="1"/>
  <c r="G50" i="5" s="1"/>
  <c r="AI37" i="1"/>
  <c r="G107" i="5" s="1"/>
  <c r="AI10" i="1"/>
  <c r="G26" i="5" s="1"/>
  <c r="AI4" i="1"/>
  <c r="G8" i="5" s="1"/>
  <c r="G8" i="24" s="1"/>
  <c r="AI12" i="1"/>
  <c r="G32" i="5" s="1"/>
  <c r="AI3" i="1"/>
  <c r="G5" i="5" s="1"/>
  <c r="H5" i="5" s="1"/>
  <c r="AI7" i="1"/>
  <c r="G17" i="5" s="1"/>
  <c r="H17" i="5" s="1"/>
  <c r="AI44" i="1"/>
  <c r="G128" i="5" s="1"/>
  <c r="G128" i="24" s="1"/>
  <c r="AI42" i="1"/>
  <c r="G122" i="5" s="1"/>
  <c r="AI45" i="1"/>
  <c r="G131" i="5" s="1"/>
  <c r="H131" i="5" s="1"/>
  <c r="AI31" i="1"/>
  <c r="G89" i="5" s="1"/>
  <c r="AI11" i="1"/>
  <c r="G29" i="5" s="1"/>
  <c r="AI2" i="1"/>
  <c r="G2" i="5" s="1"/>
  <c r="H2" i="5" s="1"/>
  <c r="S50" i="1"/>
  <c r="M52" i="13" s="1"/>
  <c r="G14" i="5"/>
  <c r="G14" i="24" s="1"/>
  <c r="M55" i="13"/>
  <c r="P46" i="1"/>
  <c r="S46" i="1" s="1"/>
  <c r="P45" i="1"/>
  <c r="Q14" i="1"/>
  <c r="T14" i="1" s="1"/>
  <c r="H47" i="5"/>
  <c r="G47" i="24"/>
  <c r="M42" i="13"/>
  <c r="F59" i="5"/>
  <c r="Q48" i="1"/>
  <c r="T48" i="1" s="1"/>
  <c r="AE3" i="13" s="1"/>
  <c r="P22" i="1"/>
  <c r="G35" i="5"/>
  <c r="P47" i="1"/>
  <c r="S47" i="1" s="1"/>
  <c r="Q17" i="1"/>
  <c r="M53" i="13" s="1"/>
  <c r="J6" i="54"/>
  <c r="D2" i="54"/>
  <c r="G86" i="5"/>
  <c r="K6" i="54"/>
  <c r="H134" i="5"/>
  <c r="G134" i="24"/>
  <c r="P12" i="1"/>
  <c r="S12" i="1" s="1"/>
  <c r="P38" i="1"/>
  <c r="S38" i="1" s="1"/>
  <c r="P27" i="1"/>
  <c r="M13" i="13"/>
  <c r="H68" i="5"/>
  <c r="G68" i="24"/>
  <c r="H104" i="5"/>
  <c r="G104" i="24"/>
  <c r="M51" i="13"/>
  <c r="P36" i="1"/>
  <c r="H113" i="5"/>
  <c r="G113" i="24"/>
  <c r="P41" i="1"/>
  <c r="S41" i="1" s="1"/>
  <c r="M56" i="13"/>
  <c r="F80" i="5"/>
  <c r="Q39" i="1"/>
  <c r="T39" i="1" s="1"/>
  <c r="AE4" i="13" s="1"/>
  <c r="P8" i="1"/>
  <c r="H59" i="5"/>
  <c r="G59" i="24"/>
  <c r="G44" i="5"/>
  <c r="H38" i="5"/>
  <c r="G38" i="24"/>
  <c r="G74" i="5"/>
  <c r="P37" i="1"/>
  <c r="F89" i="5" l="1"/>
  <c r="F89" i="24" s="1"/>
  <c r="T11" i="1"/>
  <c r="F50" i="5"/>
  <c r="F50" i="24" s="1"/>
  <c r="M27" i="13"/>
  <c r="F92" i="5"/>
  <c r="F92" i="24" s="1"/>
  <c r="S19" i="1"/>
  <c r="T19" i="1" s="1"/>
  <c r="F56" i="5"/>
  <c r="F56" i="24" s="1"/>
  <c r="AE6" i="13"/>
  <c r="T30" i="1"/>
  <c r="T33" i="1"/>
  <c r="S40" i="13" s="1"/>
  <c r="T34" i="1"/>
  <c r="F98" i="5" s="1"/>
  <c r="T35" i="1"/>
  <c r="M30" i="13" s="1"/>
  <c r="T23" i="1"/>
  <c r="AE13" i="13" s="1"/>
  <c r="T15" i="1"/>
  <c r="AE7" i="13" s="1"/>
  <c r="T47" i="1"/>
  <c r="T41" i="1"/>
  <c r="T12" i="1"/>
  <c r="T13" i="1"/>
  <c r="M26" i="13" s="1"/>
  <c r="T5" i="1"/>
  <c r="F11" i="5" s="1"/>
  <c r="F11" i="24" s="1"/>
  <c r="T42" i="1"/>
  <c r="T26" i="1"/>
  <c r="AE10" i="13" s="1"/>
  <c r="T46" i="1"/>
  <c r="AE2" i="13" s="1"/>
  <c r="T38" i="1"/>
  <c r="M22" i="13" s="1"/>
  <c r="T50" i="1"/>
  <c r="M6" i="13" s="1"/>
  <c r="M12" i="13"/>
  <c r="M9" i="13"/>
  <c r="Y39" i="13"/>
  <c r="AJ48" i="5"/>
  <c r="AJ45" i="5"/>
  <c r="D5" i="54"/>
  <c r="J2" i="54"/>
  <c r="M10" i="13"/>
  <c r="AJ50" i="5"/>
  <c r="M44" i="13"/>
  <c r="M20" i="13"/>
  <c r="M58" i="13"/>
  <c r="M43" i="13"/>
  <c r="M4" i="13"/>
  <c r="M54" i="13"/>
  <c r="F29" i="5"/>
  <c r="F29" i="24" s="1"/>
  <c r="M31" i="13"/>
  <c r="F116" i="5"/>
  <c r="F116" i="24" s="1"/>
  <c r="M50" i="13"/>
  <c r="M40" i="13"/>
  <c r="M8" i="13"/>
  <c r="M38" i="13"/>
  <c r="M16" i="13"/>
  <c r="M45" i="13"/>
  <c r="S10" i="13"/>
  <c r="J4" i="54"/>
  <c r="D3" i="54"/>
  <c r="J3" i="54"/>
  <c r="AJ36" i="5"/>
  <c r="AJ39" i="5"/>
  <c r="D6" i="54"/>
  <c r="AJ17" i="5"/>
  <c r="AJ40" i="5"/>
  <c r="AJ23" i="5"/>
  <c r="G119" i="24"/>
  <c r="J5" i="54"/>
  <c r="G110" i="24"/>
  <c r="D4" i="54"/>
  <c r="H53" i="5"/>
  <c r="G77" i="24"/>
  <c r="AJ32" i="5"/>
  <c r="G62" i="24"/>
  <c r="G65" i="24"/>
  <c r="H137" i="5"/>
  <c r="G20" i="24"/>
  <c r="H20" i="5"/>
  <c r="AJ14" i="5"/>
  <c r="G11" i="24"/>
  <c r="H80" i="5"/>
  <c r="G140" i="24"/>
  <c r="H41" i="5"/>
  <c r="G71" i="24"/>
  <c r="G92" i="24"/>
  <c r="AJ29" i="5"/>
  <c r="H8" i="5"/>
  <c r="H50" i="5"/>
  <c r="G50" i="24"/>
  <c r="AJ4" i="5"/>
  <c r="G5" i="24"/>
  <c r="H128" i="5"/>
  <c r="G131" i="24"/>
  <c r="G2" i="24"/>
  <c r="AJ15" i="5"/>
  <c r="AJ20" i="5"/>
  <c r="AJ11" i="5"/>
  <c r="AJ30" i="5"/>
  <c r="AJ46" i="5"/>
  <c r="AJ6" i="5"/>
  <c r="AJ31" i="5"/>
  <c r="S36" i="1"/>
  <c r="F68" i="5"/>
  <c r="F68" i="24" s="1"/>
  <c r="F128" i="5"/>
  <c r="F128" i="24" s="1"/>
  <c r="S45" i="1"/>
  <c r="T45" i="1" s="1"/>
  <c r="S27" i="1"/>
  <c r="S55" i="13" s="1"/>
  <c r="AJ10" i="5"/>
  <c r="AJ3" i="5"/>
  <c r="AJ43" i="5"/>
  <c r="AJ12" i="5"/>
  <c r="AJ21" i="5"/>
  <c r="AJ26" i="5"/>
  <c r="AJ51" i="5"/>
  <c r="AJ22" i="5"/>
  <c r="H116" i="5"/>
  <c r="G116" i="24"/>
  <c r="S37" i="1"/>
  <c r="T37" i="1" s="1"/>
  <c r="S8" i="1"/>
  <c r="S48" i="13" s="1"/>
  <c r="AJ28" i="5"/>
  <c r="H14" i="5"/>
  <c r="AJ5" i="5"/>
  <c r="AJ47" i="5"/>
  <c r="AJ18" i="5"/>
  <c r="S22" i="1"/>
  <c r="M14" i="13" s="1"/>
  <c r="AJ9" i="5"/>
  <c r="AJ37" i="5"/>
  <c r="AJ42" i="5"/>
  <c r="G17" i="24"/>
  <c r="F17" i="5"/>
  <c r="M35" i="13"/>
  <c r="AJ33" i="5"/>
  <c r="AJ2" i="5"/>
  <c r="F113" i="5"/>
  <c r="S38" i="13"/>
  <c r="F38" i="5"/>
  <c r="F23" i="5"/>
  <c r="H107" i="5"/>
  <c r="G107" i="24"/>
  <c r="AJ8" i="5"/>
  <c r="F2" i="24"/>
  <c r="F8" i="24"/>
  <c r="H35" i="5"/>
  <c r="G35" i="24"/>
  <c r="F26" i="24"/>
  <c r="F47" i="5"/>
  <c r="H146" i="5"/>
  <c r="G146" i="24"/>
  <c r="AJ38" i="5"/>
  <c r="H32" i="5"/>
  <c r="G32" i="24"/>
  <c r="AJ44" i="5"/>
  <c r="F80" i="24"/>
  <c r="H29" i="5"/>
  <c r="G29" i="24"/>
  <c r="AJ13" i="5"/>
  <c r="F59" i="24"/>
  <c r="F14" i="5"/>
  <c r="F44" i="24"/>
  <c r="M21" i="13"/>
  <c r="H95" i="5"/>
  <c r="G95" i="24"/>
  <c r="H44" i="5"/>
  <c r="G44" i="24"/>
  <c r="AJ34" i="5"/>
  <c r="H98" i="5"/>
  <c r="G98" i="24"/>
  <c r="AJ35" i="5"/>
  <c r="AJ24" i="5"/>
  <c r="K2" i="54"/>
  <c r="H23" i="5"/>
  <c r="G23" i="24"/>
  <c r="AJ41" i="5"/>
  <c r="H122" i="5"/>
  <c r="G122" i="24"/>
  <c r="AJ25" i="5"/>
  <c r="H89" i="5"/>
  <c r="G89" i="24"/>
  <c r="AJ7" i="5"/>
  <c r="H26" i="5"/>
  <c r="G26" i="24"/>
  <c r="H86" i="5"/>
  <c r="G86" i="24"/>
  <c r="AJ49" i="5"/>
  <c r="F71" i="24"/>
  <c r="F140" i="5"/>
  <c r="H125" i="5"/>
  <c r="G125" i="24"/>
  <c r="H74" i="5"/>
  <c r="G74" i="24"/>
  <c r="F83" i="5"/>
  <c r="H149" i="5"/>
  <c r="G149" i="24"/>
  <c r="AJ19" i="5"/>
  <c r="H83" i="5"/>
  <c r="G83" i="24"/>
  <c r="AJ27" i="5"/>
  <c r="H1" i="5" l="1"/>
  <c r="F41" i="5"/>
  <c r="F41" i="24" s="1"/>
  <c r="F95" i="5"/>
  <c r="F95" i="24" s="1"/>
  <c r="F65" i="5"/>
  <c r="F65" i="24" s="1"/>
  <c r="AE12" i="13"/>
  <c r="F53" i="5"/>
  <c r="F53" i="24" s="1"/>
  <c r="Y22" i="13"/>
  <c r="Y38" i="13"/>
  <c r="M25" i="13"/>
  <c r="F74" i="5"/>
  <c r="F74" i="24" s="1"/>
  <c r="M36" i="13"/>
  <c r="F122" i="5"/>
  <c r="F122" i="24" s="1"/>
  <c r="AE14" i="13"/>
  <c r="F101" i="5"/>
  <c r="F101" i="24" s="1"/>
  <c r="AE9" i="13"/>
  <c r="F146" i="5"/>
  <c r="F146" i="24" s="1"/>
  <c r="AK5" i="13"/>
  <c r="M34" i="13"/>
  <c r="F86" i="5"/>
  <c r="F86" i="24" s="1"/>
  <c r="M7" i="13"/>
  <c r="T36" i="1"/>
  <c r="AE17" i="13" s="1"/>
  <c r="T27" i="1"/>
  <c r="Y23" i="13" s="1"/>
  <c r="F35" i="5"/>
  <c r="F35" i="24" s="1"/>
  <c r="T22" i="1"/>
  <c r="AE16" i="13" s="1"/>
  <c r="T8" i="1"/>
  <c r="S28" i="13" s="1"/>
  <c r="M32" i="13"/>
  <c r="M3" i="13"/>
  <c r="M5" i="13"/>
  <c r="S32" i="13"/>
  <c r="S54" i="13"/>
  <c r="S26" i="13"/>
  <c r="Y17" i="13"/>
  <c r="S8" i="13"/>
  <c r="Y21" i="13"/>
  <c r="S58" i="13"/>
  <c r="S18" i="13"/>
  <c r="S33" i="13"/>
  <c r="S12" i="13"/>
  <c r="K4" i="54"/>
  <c r="AJ16" i="5"/>
  <c r="AL16" i="5" s="1"/>
  <c r="S9" i="13"/>
  <c r="Y5" i="13"/>
  <c r="Y6" i="13"/>
  <c r="Y20" i="13"/>
  <c r="Y28" i="13"/>
  <c r="AK8" i="13"/>
  <c r="AK6" i="13"/>
  <c r="S43" i="13"/>
  <c r="AK3" i="13"/>
  <c r="S3" i="13"/>
  <c r="S20" i="13"/>
  <c r="Y18" i="13"/>
  <c r="Y14" i="13"/>
  <c r="S27" i="13"/>
  <c r="S62" i="13"/>
  <c r="S5" i="13"/>
  <c r="M29" i="13"/>
  <c r="Y30" i="13"/>
  <c r="AQ3" i="13"/>
  <c r="M61" i="13"/>
  <c r="S17" i="13"/>
  <c r="S23" i="13"/>
  <c r="S61" i="13"/>
  <c r="M2" i="13"/>
  <c r="M17" i="13"/>
  <c r="M33" i="13"/>
  <c r="M37" i="13"/>
  <c r="M60" i="13"/>
  <c r="S19" i="13"/>
  <c r="M23" i="13"/>
  <c r="S41" i="13"/>
  <c r="AK4" i="13"/>
  <c r="M41" i="13"/>
  <c r="M48" i="13"/>
  <c r="M15" i="13"/>
  <c r="M47" i="13"/>
  <c r="S49" i="13"/>
  <c r="AK7" i="13"/>
  <c r="Y10" i="13"/>
  <c r="Y8" i="13"/>
  <c r="Y11" i="13"/>
  <c r="Y25" i="13"/>
  <c r="Y15" i="13"/>
  <c r="S14" i="13"/>
  <c r="S29" i="13"/>
  <c r="M19" i="13"/>
  <c r="M59" i="13"/>
  <c r="S59" i="13"/>
  <c r="M57" i="13"/>
  <c r="S45" i="13"/>
  <c r="M24" i="13"/>
  <c r="F131" i="5"/>
  <c r="M11" i="13"/>
  <c r="S24" i="13"/>
  <c r="S35" i="13"/>
  <c r="S21" i="13"/>
  <c r="S22" i="13"/>
  <c r="M46" i="13"/>
  <c r="S7" i="13"/>
  <c r="M49" i="13"/>
  <c r="S57" i="13"/>
  <c r="F107" i="5"/>
  <c r="F107" i="24" s="1"/>
  <c r="S6" i="13"/>
  <c r="Y2" i="13"/>
  <c r="S39" i="13"/>
  <c r="S42" i="13"/>
  <c r="S56" i="13"/>
  <c r="S2" i="13"/>
  <c r="AW2" i="13"/>
  <c r="AQ2" i="13"/>
  <c r="Y4" i="13"/>
  <c r="Y9" i="13"/>
  <c r="Y29" i="13"/>
  <c r="Y32" i="13"/>
  <c r="S15" i="13"/>
  <c r="S31" i="13"/>
  <c r="S34" i="13"/>
  <c r="F137" i="5"/>
  <c r="F137" i="24" s="1"/>
  <c r="K5" i="54"/>
  <c r="S25" i="13"/>
  <c r="K3" i="54"/>
  <c r="AQ4" i="13"/>
  <c r="AK2" i="13"/>
  <c r="S16" i="13"/>
  <c r="S53" i="13"/>
  <c r="F32" i="5"/>
  <c r="Y19" i="13"/>
  <c r="Y24" i="13"/>
  <c r="Y13" i="13"/>
  <c r="Y3" i="13"/>
  <c r="Y27" i="13"/>
  <c r="Y16" i="13"/>
  <c r="S51" i="13"/>
  <c r="Y26" i="13"/>
  <c r="S37" i="13"/>
  <c r="S52" i="13"/>
  <c r="S30" i="13"/>
  <c r="S47" i="13"/>
  <c r="S46" i="13"/>
  <c r="AE22" i="5"/>
  <c r="F110" i="5"/>
  <c r="AE40" i="5" s="1"/>
  <c r="S50" i="13"/>
  <c r="S4" i="13"/>
  <c r="S11" i="13"/>
  <c r="S36" i="13"/>
  <c r="F17" i="24"/>
  <c r="Y12" i="13"/>
  <c r="F140" i="24"/>
  <c r="S13" i="13"/>
  <c r="F134" i="5"/>
  <c r="AE35" i="5" s="1"/>
  <c r="Y7" i="13"/>
  <c r="F98" i="24"/>
  <c r="F119" i="5"/>
  <c r="AE39" i="5" s="1"/>
  <c r="F83" i="24"/>
  <c r="F47" i="24"/>
  <c r="AE10" i="5"/>
  <c r="F23" i="24"/>
  <c r="F38" i="24"/>
  <c r="F113" i="24"/>
  <c r="F14" i="24"/>
  <c r="AW3" i="13" l="1"/>
  <c r="AQ5" i="13"/>
  <c r="AK9" i="13"/>
  <c r="F20" i="5"/>
  <c r="F20" i="24" s="1"/>
  <c r="F77" i="5"/>
  <c r="F77" i="24" s="1"/>
  <c r="F104" i="5"/>
  <c r="F104" i="24" s="1"/>
  <c r="Y33" i="13"/>
  <c r="S64" i="13"/>
  <c r="S44" i="13"/>
  <c r="F62" i="5"/>
  <c r="AE24" i="5" s="1"/>
  <c r="AE5" i="5"/>
  <c r="S60" i="13"/>
  <c r="Y31" i="13"/>
  <c r="M28" i="13"/>
  <c r="AE42" i="5"/>
  <c r="AE43" i="5"/>
  <c r="AE50" i="5"/>
  <c r="AE51" i="5"/>
  <c r="AE33" i="5"/>
  <c r="S37" i="34"/>
  <c r="AL43" i="5"/>
  <c r="AL3" i="5"/>
  <c r="AL18" i="5"/>
  <c r="AL33" i="5"/>
  <c r="AL30" i="5"/>
  <c r="AL4" i="5"/>
  <c r="AL8" i="5"/>
  <c r="AL31" i="5"/>
  <c r="AL25" i="5"/>
  <c r="AL6" i="5"/>
  <c r="AL27" i="5"/>
  <c r="AL42" i="5"/>
  <c r="AL9" i="5"/>
  <c r="S34" i="34"/>
  <c r="AL20" i="5"/>
  <c r="AL10" i="5"/>
  <c r="AL29" i="5"/>
  <c r="AL24" i="5"/>
  <c r="AL15" i="5"/>
  <c r="AL41" i="5"/>
  <c r="AL19" i="5"/>
  <c r="AL14" i="5"/>
  <c r="AL7" i="5"/>
  <c r="AL2" i="5"/>
  <c r="AL46" i="5"/>
  <c r="AL11" i="5"/>
  <c r="AL39" i="5"/>
  <c r="O25" i="34"/>
  <c r="P25" i="34" s="1"/>
  <c r="AL28" i="5"/>
  <c r="AL21" i="5"/>
  <c r="AL45" i="5"/>
  <c r="AL34" i="5"/>
  <c r="AL13" i="5"/>
  <c r="AL50" i="5"/>
  <c r="AL47" i="5"/>
  <c r="AL35" i="5"/>
  <c r="AL17" i="5"/>
  <c r="AL23" i="5"/>
  <c r="AL26" i="5"/>
  <c r="AL32" i="5"/>
  <c r="AL12" i="5"/>
  <c r="AL37" i="5"/>
  <c r="AL44" i="5"/>
  <c r="AL51" i="5"/>
  <c r="AL5" i="5"/>
  <c r="O26" i="34"/>
  <c r="M26" i="34" s="1"/>
  <c r="AL40" i="5"/>
  <c r="AL22" i="5"/>
  <c r="AL49" i="5"/>
  <c r="AL36" i="5"/>
  <c r="AL38" i="5"/>
  <c r="AL48" i="5"/>
  <c r="AE36" i="5"/>
  <c r="AE38" i="5"/>
  <c r="AE26" i="5"/>
  <c r="AE37" i="5"/>
  <c r="AE48" i="5"/>
  <c r="AE44" i="5"/>
  <c r="AE4" i="5"/>
  <c r="AE6" i="5"/>
  <c r="AE15" i="5"/>
  <c r="AE23" i="5"/>
  <c r="AE2" i="5"/>
  <c r="AE27" i="5"/>
  <c r="AE45" i="5"/>
  <c r="F131" i="24"/>
  <c r="AE16" i="5"/>
  <c r="AE19" i="5"/>
  <c r="AE20" i="5"/>
  <c r="AE28" i="5"/>
  <c r="AE18" i="5"/>
  <c r="AE32" i="5"/>
  <c r="AE25" i="5"/>
  <c r="AE41" i="5"/>
  <c r="AE31" i="5"/>
  <c r="AE49" i="5"/>
  <c r="AE47" i="5"/>
  <c r="AE13" i="5"/>
  <c r="AE3" i="5"/>
  <c r="AE46" i="5"/>
  <c r="F32" i="24"/>
  <c r="AE17" i="5"/>
  <c r="AE29" i="5"/>
  <c r="F110" i="24"/>
  <c r="AE7" i="5"/>
  <c r="AE12" i="5"/>
  <c r="AE30" i="5"/>
  <c r="AE21" i="5"/>
  <c r="F119" i="24"/>
  <c r="AE9" i="5"/>
  <c r="F134" i="24"/>
  <c r="AE34" i="5"/>
  <c r="AE14" i="5" l="1"/>
  <c r="AE11" i="5"/>
  <c r="AE8" i="5"/>
  <c r="AN1" i="5"/>
  <c r="M28" i="34" s="1"/>
  <c r="F62" i="24"/>
  <c r="P26" i="34"/>
  <c r="M25" i="34"/>
  <c r="AG50" i="5"/>
  <c r="AG51" i="5"/>
  <c r="AG48" i="5"/>
  <c r="AG49" i="5"/>
  <c r="AG3" i="5" l="1"/>
  <c r="I65" i="5" s="1"/>
  <c r="AG8" i="5"/>
  <c r="I104" i="5" s="1"/>
  <c r="AG9" i="5"/>
  <c r="I140" i="5" s="1"/>
  <c r="AG30" i="5"/>
  <c r="I35" i="5" s="1"/>
  <c r="AG2" i="5"/>
  <c r="I68" i="5" s="1"/>
  <c r="AG26" i="5"/>
  <c r="I8" i="5" s="1"/>
  <c r="AG32" i="5"/>
  <c r="I149" i="5" s="1"/>
  <c r="AG43" i="5"/>
  <c r="I50" i="5" s="1"/>
  <c r="AG13" i="5"/>
  <c r="I38" i="5" s="1"/>
  <c r="AG22" i="5"/>
  <c r="I92" i="5" s="1"/>
  <c r="AG25" i="5"/>
  <c r="I32" i="5" s="1"/>
  <c r="AG19" i="5"/>
  <c r="I2" i="5" s="1"/>
  <c r="AG27" i="5"/>
  <c r="I41" i="5" s="1"/>
  <c r="AG7" i="5"/>
  <c r="I122" i="5" s="1"/>
  <c r="AG24" i="5"/>
  <c r="I62" i="5" s="1"/>
  <c r="AG15" i="5"/>
  <c r="I86" i="5" s="1"/>
  <c r="AG21" i="5"/>
  <c r="I137" i="5" s="1"/>
  <c r="AG18" i="5"/>
  <c r="I131" i="5" s="1"/>
  <c r="AG40" i="5"/>
  <c r="I11" i="5" s="1"/>
  <c r="AG6" i="5"/>
  <c r="I98" i="5" s="1"/>
  <c r="AG38" i="5"/>
  <c r="I125" i="5" s="1"/>
  <c r="AG36" i="5"/>
  <c r="I44" i="5" s="1"/>
  <c r="AG11" i="5"/>
  <c r="I20" i="5" s="1"/>
  <c r="AG12" i="5"/>
  <c r="I143" i="5" s="1"/>
  <c r="AG20" i="5"/>
  <c r="I5" i="5" s="1"/>
  <c r="AG37" i="5"/>
  <c r="I14" i="5" s="1"/>
  <c r="AG44" i="5"/>
  <c r="I116" i="5" s="1"/>
  <c r="AG33" i="5"/>
  <c r="I17" i="5" s="1"/>
  <c r="AG28" i="5"/>
  <c r="I74" i="5" s="1"/>
  <c r="AG45" i="5"/>
  <c r="I110" i="5" s="1"/>
  <c r="AG47" i="5"/>
  <c r="I59" i="5" s="1"/>
  <c r="AG17" i="5"/>
  <c r="I23" i="5" s="1"/>
  <c r="AG16" i="5"/>
  <c r="I134" i="5" s="1"/>
  <c r="AG34" i="5"/>
  <c r="G3" i="54" s="1"/>
  <c r="AG42" i="5"/>
  <c r="I56" i="5" s="1"/>
  <c r="AG4" i="5"/>
  <c r="I128" i="5" s="1"/>
  <c r="AG31" i="5"/>
  <c r="I113" i="5" s="1"/>
  <c r="AG23" i="5"/>
  <c r="I95" i="5" s="1"/>
  <c r="AG39" i="5"/>
  <c r="I119" i="5" s="1"/>
  <c r="AG14" i="5"/>
  <c r="I77" i="5" s="1"/>
  <c r="AG46" i="5"/>
  <c r="I53" i="5" s="1"/>
  <c r="AG35" i="5"/>
  <c r="I89" i="5" s="1"/>
  <c r="AG10" i="5"/>
  <c r="I71" i="5" s="1"/>
  <c r="AG41" i="5"/>
  <c r="I26" i="5" s="1"/>
  <c r="AG29" i="5"/>
  <c r="I146" i="5" s="1"/>
  <c r="AG5" i="5"/>
  <c r="I101" i="5" s="1"/>
  <c r="I29" i="5"/>
  <c r="I83" i="5"/>
  <c r="I47" i="5"/>
  <c r="I80" i="5"/>
  <c r="G2" i="54"/>
  <c r="G6" i="54"/>
  <c r="G4" i="54"/>
  <c r="G5" i="54" l="1"/>
  <c r="I10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3"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<sst xmlns="http://schemas.openxmlformats.org/spreadsheetml/2006/main" count="2142" uniqueCount="666">
  <si>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</si>
  <si>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</si>
  <si>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</si>
  <si>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</si>
  <si>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</si>
  <si>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</si>
  <si>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</si>
  <si>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</si>
  <si>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</si>
  <si>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</si>
  <si>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</si>
  <si>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</si>
  <si>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</si>
  <si>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</si>
  <si>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</si>
  <si>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</si>
  <si>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</si>
  <si>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</si>
  <si>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</si>
  <si>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</si>
  <si>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</si>
  <si>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</si>
  <si>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</si>
  <si>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</si>
  <si>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</si>
  <si>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</si>
  <si>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</si>
  <si>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</si>
  <si>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</si>
  <si>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</si>
  <si>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</si>
  <si>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</si>
  <si>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</si>
  <si>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</si>
  <si>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</si>
  <si>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</si>
  <si>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</si>
  <si>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</si>
  <si>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</si>
  <si>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</si>
  <si>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</si>
  <si>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</si>
  <si>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</si>
  <si>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</si>
  <si>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</si>
  <si>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</si>
  <si>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</si>
  <si>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</si>
  <si>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</si>
  <si>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</si>
  <si>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</si>
  <si>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</si>
  <si>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</si>
  <si>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</si>
  <si>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</si>
  <si>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</si>
  <si>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</si>
  <si>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</si>
  <si>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</si>
  <si>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</si>
  <si>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</si>
  <si>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</si>
  <si>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</si>
  <si>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</si>
  <si>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</si>
  <si>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</si>
  <si>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</si>
  <si>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</si>
  <si>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</si>
  <si>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</si>
  <si>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</si>
  <si>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</si>
  <si>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</si>
  <si>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</si>
  <si>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</si>
  <si>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</si>
  <si>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</si>
  <si>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</si>
  <si>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</si>
  <si>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</si>
  <si>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</si>
  <si>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</si>
  <si>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</si>
  <si>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</si>
  <si>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</si>
  <si>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</si>
  <si>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</si>
  <si>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</si>
  <si>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</si>
  <si>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</si>
  <si>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</si>
  <si>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</si>
  <si>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</si>
  <si>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</si>
  <si>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</si>
  <si>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</si>
  <si>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</si>
  <si>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</si>
  <si>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</si>
  <si>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</si>
  <si>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</si>
  <si>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</si>
  <si>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</si>
  <si>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</si>
  <si>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</si>
  <si>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</si>
  <si>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</si>
  <si>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</si>
  <si>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</si>
  <si>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</si>
  <si>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</si>
  <si>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</si>
  <si>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</si>
  <si>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</si>
  <si>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</si>
  <si>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</si>
  <si>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</si>
  <si>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</si>
  <si>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</si>
  <si>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</si>
  <si>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</si>
  <si>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</si>
  <si>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</si>
  <si>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</si>
  <si>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</si>
  <si>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</si>
  <si>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</si>
  <si>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</si>
  <si>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</si>
  <si>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Current Round</t>
  </si>
  <si>
    <t>Draw #</t>
  </si>
  <si>
    <t>Entrants</t>
  </si>
  <si>
    <t>Round 1 Rep</t>
  </si>
  <si>
    <t>Round 2</t>
  </si>
  <si>
    <t>Round 2 Rep</t>
  </si>
  <si>
    <t xml:space="preserve">Round 3 </t>
  </si>
  <si>
    <t>Round 3 Rep</t>
  </si>
  <si>
    <t xml:space="preserve">Quarter-Final </t>
  </si>
  <si>
    <t>Quarter-Final Rep</t>
  </si>
  <si>
    <t>Semi-Final</t>
  </si>
  <si>
    <t>Semi-Final Rep</t>
  </si>
  <si>
    <t>Final Rep</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</si>
  <si>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</si>
  <si>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</si>
  <si>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</si>
  <si>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</si>
  <si>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</si>
  <si>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</si>
  <si>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</si>
  <si>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</si>
  <si>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</si>
  <si>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</si>
  <si>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</si>
  <si>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</si>
  <si>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</si>
  <si>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</si>
  <si>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</si>
  <si>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</si>
  <si>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</si>
  <si>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</si>
  <si>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</si>
  <si>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</si>
  <si>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</si>
  <si>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</si>
  <si>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</si>
  <si>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</si>
  <si>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</si>
  <si>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</si>
  <si>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</si>
  <si>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</si>
  <si>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Sunderland</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</si>
  <si>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</si>
  <si>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</si>
  <si>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</si>
  <si>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</si>
  <si>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</si>
  <si>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</si>
  <si>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</si>
  <si>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</si>
  <si>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</si>
  <si>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</si>
  <si>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</si>
  <si>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</si>
  <si>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</si>
  <si>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</si>
  <si>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</si>
  <si>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</si>
  <si>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</si>
  <si>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</si>
  <si>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</si>
  <si>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</si>
  <si>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</si>
  <si>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</si>
  <si>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</si>
  <si>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</si>
  <si>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</si>
  <si>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</si>
  <si>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</si>
  <si>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</si>
  <si>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</si>
  <si>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</si>
  <si>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</si>
  <si>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</si>
  <si>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</si>
  <si>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</si>
  <si>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</si>
  <si>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</si>
  <si>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</si>
  <si>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</si>
  <si>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</si>
  <si>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</si>
  <si>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</si>
  <si>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</si>
  <si>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</si>
  <si>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</si>
  <si>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</si>
  <si>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</si>
  <si>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</si>
  <si>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</si>
  <si>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</si>
  <si>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</si>
  <si>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</si>
  <si>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</si>
  <si>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</si>
  <si>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</si>
  <si>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</si>
  <si>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</si>
  <si>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</si>
  <si>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</si>
  <si>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</si>
  <si>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</si>
  <si>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</si>
  <si>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</si>
  <si>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</si>
  <si>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</si>
  <si>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</si>
  <si>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</si>
  <si>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</si>
  <si>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</si>
  <si>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</si>
  <si>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</si>
  <si>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</si>
  <si>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</si>
  <si>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</si>
  <si>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</si>
  <si>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</si>
  <si>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</si>
  <si>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</si>
  <si>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</si>
  <si>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</si>
  <si>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</si>
  <si>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</si>
  <si>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</si>
  <si>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</si>
  <si>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</si>
  <si>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</si>
  <si>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</si>
  <si>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</si>
  <si>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</si>
  <si>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</si>
  <si>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</si>
  <si>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</si>
  <si>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</si>
  <si>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</si>
  <si>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</si>
  <si>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</si>
  <si>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</si>
  <si>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</si>
  <si>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</si>
  <si>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</si>
  <si>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</si>
  <si>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</si>
  <si>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</si>
  <si>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</si>
  <si>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</si>
  <si>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</si>
  <si>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</si>
  <si>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</si>
  <si>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</si>
  <si>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</si>
  <si>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Sally Williams</t>
  </si>
  <si>
    <t>Paul Adderley</t>
  </si>
  <si>
    <t>Lennie Bow</t>
  </si>
  <si>
    <t>Mark Bunn</t>
  </si>
  <si>
    <t>Andy Charleston</t>
  </si>
  <si>
    <t>John Evans</t>
  </si>
  <si>
    <t>Kei Lok Ma</t>
  </si>
  <si>
    <t>Mike Penk</t>
  </si>
  <si>
    <t>Gareth Powell</t>
  </si>
  <si>
    <t>Alan Rogers</t>
  </si>
  <si>
    <t>Mal Stott</t>
  </si>
  <si>
    <t>Vinny Topping</t>
  </si>
  <si>
    <t>Paul Barnes</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</si>
  <si>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</si>
  <si>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</si>
  <si>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</si>
  <si>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</si>
  <si>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</si>
  <si>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</si>
  <si>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</si>
  <si>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</si>
  <si>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</si>
  <si>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</si>
  <si>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</si>
  <si>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</si>
  <si>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</si>
  <si>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</si>
  <si>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</si>
  <si>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</si>
  <si>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League
Place
Prize</t>
  </si>
  <si>
    <t>A6</t>
  </si>
  <si>
    <t>B6</t>
  </si>
  <si>
    <t>C6</t>
  </si>
  <si>
    <t>D6</t>
  </si>
  <si>
    <t>Tom Robinson</t>
  </si>
  <si>
    <t>James Bell</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</si>
  <si>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</si>
  <si>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</si>
  <si>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</si>
  <si>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</si>
  <si>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</si>
  <si>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</si>
  <si>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</si>
  <si>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</si>
  <si>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</si>
  <si>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</si>
  <si>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</si>
  <si>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</si>
  <si>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</si>
  <si>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</si>
  <si>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</si>
  <si>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</si>
  <si>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</si>
  <si>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</si>
  <si>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</si>
  <si>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</si>
  <si>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</si>
  <si>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</si>
  <si>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</si>
  <si>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</si>
  <si>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</si>
  <si>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</si>
  <si>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</si>
  <si>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</si>
  <si>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</si>
  <si>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</si>
  <si>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</si>
  <si>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</si>
  <si>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</si>
  <si>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</si>
  <si>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</si>
  <si>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</si>
  <si>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</si>
  <si>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</si>
  <si>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</si>
  <si>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</si>
  <si>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</si>
  <si>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Liam Wah</t>
  </si>
  <si>
    <t>Ben Rosser</t>
  </si>
  <si>
    <t>Dave Orrell</t>
  </si>
  <si>
    <t>David Dunn</t>
  </si>
  <si>
    <t>Ashley Houghton</t>
  </si>
  <si>
    <t>Gerard Ventom</t>
  </si>
  <si>
    <t>John Ronan</t>
  </si>
  <si>
    <t>Nick Blocksidge</t>
  </si>
  <si>
    <t>Martin Tarbuck</t>
  </si>
  <si>
    <t>Alfie Davies</t>
  </si>
  <si>
    <t>Ian Davies</t>
  </si>
  <si>
    <t>Dave Bell</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</si>
  <si>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</si>
  <si>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</si>
  <si>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</si>
  <si>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</si>
  <si>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</si>
  <si>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</si>
  <si>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</si>
  <si>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</si>
  <si>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</si>
  <si>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</si>
  <si>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</si>
  <si>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</si>
  <si>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</si>
  <si>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</si>
  <si>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</si>
  <si>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</si>
  <si>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</si>
  <si>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</si>
  <si>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</si>
  <si>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</si>
  <si>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</si>
  <si>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</si>
  <si>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</si>
  <si>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</si>
  <si>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</si>
  <si>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</si>
  <si>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</si>
  <si>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</si>
  <si>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</si>
  <si>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</si>
  <si>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</si>
  <si>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</si>
  <si>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</si>
  <si>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</si>
  <si>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</si>
  <si>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</si>
  <si>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</si>
  <si>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</si>
  <si>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</si>
  <si>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</si>
  <si>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</si>
  <si>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</si>
  <si>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</si>
  <si>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</si>
  <si>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</si>
  <si>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</si>
  <si>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</si>
  <si>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Season
Score</t>
  </si>
  <si>
    <t>Week
? of 3</t>
  </si>
  <si>
    <t>League
Place Prize</t>
  </si>
  <si>
    <t>Number of Entrants</t>
  </si>
  <si>
    <t>This Week
Correct</t>
  </si>
  <si>
    <t>Count of Points</t>
  </si>
  <si>
    <t>Replay</t>
  </si>
  <si>
    <t>(blank)</t>
  </si>
  <si>
    <t>Act Score
This Week</t>
  </si>
  <si>
    <t>Sheff U</t>
  </si>
  <si>
    <t>Villa</t>
  </si>
  <si>
    <t>Wycombe</t>
  </si>
  <si>
    <t>West Ham</t>
  </si>
  <si>
    <t>Spurs</t>
  </si>
  <si>
    <t>Reading draw</t>
  </si>
  <si>
    <t>Prm\Chp\FL1\FL2</t>
  </si>
  <si>
    <t>INT\FL1\FL2\NL</t>
  </si>
  <si>
    <t>Prev/Final
Div</t>
  </si>
  <si>
    <t>Gareth McGuire</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</si>
  <si>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</si>
  <si>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</si>
  <si>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</si>
  <si>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</si>
  <si>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</si>
  <si>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</si>
  <si>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</si>
  <si>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</si>
  <si>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</si>
  <si>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</si>
  <si>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</si>
  <si>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</si>
  <si>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</si>
  <si>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</si>
  <si>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</si>
  <si>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</si>
  <si>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</si>
  <si>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</si>
  <si>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</si>
  <si>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</si>
  <si>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</si>
  <si>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t>
  </si>
  <si>
    <t>Picks</t>
  </si>
  <si>
    <t>Wk in</t>
  </si>
  <si>
    <t>Wk Pts</t>
  </si>
  <si>
    <t>Season
Total</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</si>
  <si>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</si>
  <si>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</si>
  <si>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</si>
  <si>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</si>
  <si>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</si>
  <si>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</si>
  <si>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</si>
  <si>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</si>
  <si>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</si>
  <si>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</si>
  <si>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</si>
  <si>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</si>
  <si>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</si>
  <si>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</si>
  <si>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</si>
  <si>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</si>
  <si>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</si>
  <si>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</si>
  <si>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</si>
  <si>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</si>
  <si>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</si>
  <si>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</si>
  <si>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</si>
  <si>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</si>
  <si>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</si>
  <si>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</si>
  <si>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Deducts</t>
  </si>
  <si>
    <t>Ref</t>
  </si>
  <si>
    <t>Played</t>
  </si>
  <si>
    <t>Week 1
Off/On?</t>
  </si>
  <si>
    <t>Off?</t>
  </si>
  <si>
    <t>On/Off</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</si>
  <si>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</si>
  <si>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</si>
  <si>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</si>
  <si>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</si>
  <si>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</si>
  <si>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</si>
  <si>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</si>
  <si>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</si>
  <si>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</si>
  <si>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</si>
  <si>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</si>
  <si>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X</t>
  </si>
  <si>
    <t>Alan Bond</t>
  </si>
  <si>
    <t>John Murphy</t>
  </si>
  <si>
    <t>Bob Bailey</t>
  </si>
  <si>
    <t>Dan Gibbard</t>
  </si>
  <si>
    <t>Frank Allen</t>
  </si>
  <si>
    <t>Autumn</t>
  </si>
  <si>
    <t>Earlier drawn ties</t>
  </si>
  <si>
    <t>Day</t>
  </si>
  <si>
    <t>New Season Divisional Line-ups</t>
  </si>
  <si>
    <t>↔</t>
  </si>
  <si>
    <t>Julie Dodd</t>
  </si>
  <si>
    <t>Midweek Fixtures</t>
  </si>
  <si>
    <t>Preston</t>
  </si>
  <si>
    <t>Main Matchday</t>
  </si>
  <si>
    <t>Preliminary</t>
  </si>
  <si>
    <t>Preliminary Rep</t>
  </si>
  <si>
    <t>17</t>
  </si>
  <si>
    <t>Double Round</t>
  </si>
  <si>
    <t>Midweek\
Double Round</t>
  </si>
  <si>
    <t>3in! PL
Cup Round</t>
  </si>
  <si>
    <t>PL\EFL\SPL
Fixtures</t>
  </si>
  <si>
    <t>Paul England</t>
  </si>
  <si>
    <t>Alex Griffin</t>
  </si>
  <si>
    <t>Wrexham</t>
  </si>
  <si>
    <t>Emma McDermott</t>
  </si>
  <si>
    <t>Rank #</t>
  </si>
  <si>
    <t>C17</t>
  </si>
  <si>
    <t>C20</t>
  </si>
  <si>
    <t>C18</t>
  </si>
  <si>
    <t>C19</t>
  </si>
  <si>
    <t>5</t>
  </si>
  <si>
    <t>6</t>
  </si>
  <si>
    <t>7</t>
  </si>
  <si>
    <t>8</t>
  </si>
  <si>
    <t>9</t>
  </si>
  <si>
    <t>10</t>
  </si>
  <si>
    <t>11</t>
  </si>
  <si>
    <t>12</t>
  </si>
  <si>
    <t>13</t>
  </si>
  <si>
    <t>14</t>
  </si>
  <si>
    <t>15</t>
  </si>
  <si>
    <t>16</t>
  </si>
  <si>
    <t>18</t>
  </si>
  <si>
    <t>19</t>
  </si>
  <si>
    <t>Load fixtures
(- 7 days)</t>
  </si>
  <si>
    <t>Done</t>
  </si>
  <si>
    <t>Y</t>
  </si>
  <si>
    <t>Scrape Find fixtures
(- 12 days)</t>
  </si>
  <si>
    <t>Scrape &amp; Input odds
(Mon of Round)</t>
  </si>
  <si>
    <t>Gillingham</t>
  </si>
  <si>
    <t>Salford</t>
  </si>
  <si>
    <t>N</t>
  </si>
  <si>
    <t>20</t>
  </si>
  <si>
    <t>1</t>
  </si>
  <si>
    <t>2</t>
  </si>
  <si>
    <t>3</t>
  </si>
  <si>
    <t>4</t>
  </si>
  <si>
    <t>Round1</t>
  </si>
  <si>
    <t>PL43</t>
  </si>
  <si>
    <t>Spring 2024</t>
  </si>
  <si>
    <t>Northampton</t>
  </si>
  <si>
    <t>Derby</t>
  </si>
  <si>
    <t>R</t>
  </si>
  <si>
    <t>Bye</t>
  </si>
  <si>
    <t>Sutton</t>
  </si>
  <si>
    <t>Palace</t>
  </si>
  <si>
    <t>QPR</t>
  </si>
  <si>
    <t>League 1</t>
  </si>
  <si>
    <t>Burton</t>
  </si>
  <si>
    <t>Carlisle</t>
  </si>
  <si>
    <t>Port Vale</t>
  </si>
  <si>
    <t>Stevenage</t>
  </si>
  <si>
    <t>League 2</t>
  </si>
  <si>
    <t>Accrington</t>
  </si>
  <si>
    <t>Bradford</t>
  </si>
  <si>
    <t>Barrow</t>
  </si>
  <si>
    <t>Colchester</t>
  </si>
  <si>
    <t>Crewe</t>
  </si>
  <si>
    <t>Forest Green</t>
  </si>
  <si>
    <t>Tranmere</t>
  </si>
  <si>
    <t>Harrogate</t>
  </si>
  <si>
    <t>Mansfield</t>
  </si>
  <si>
    <t>MK Dons</t>
  </si>
  <si>
    <t>Morecambe</t>
  </si>
  <si>
    <t>Notts Co</t>
  </si>
  <si>
    <t>Wimbledon</t>
  </si>
  <si>
    <t>Newport</t>
  </si>
  <si>
    <t>Grimsby</t>
  </si>
  <si>
    <t>Current non-entrants</t>
  </si>
  <si>
    <t>Stockport</t>
  </si>
  <si>
    <t>Crawley</t>
  </si>
  <si>
    <t>3/1</t>
  </si>
  <si>
    <t>Champ</t>
  </si>
  <si>
    <t>Blackburn</t>
  </si>
  <si>
    <t>Ipswich</t>
  </si>
  <si>
    <t>Bristol C</t>
  </si>
  <si>
    <t>Leicester</t>
  </si>
  <si>
    <t>Cardiff</t>
  </si>
  <si>
    <t>Huddersfield</t>
  </si>
  <si>
    <t>Coventry</t>
  </si>
  <si>
    <t>Hull</t>
  </si>
  <si>
    <t>Stoke</t>
  </si>
  <si>
    <t>Millwall</t>
  </si>
  <si>
    <t>West Brom</t>
  </si>
  <si>
    <t>Norwich</t>
  </si>
  <si>
    <t>Plymouth</t>
  </si>
  <si>
    <t>Rotherham</t>
  </si>
  <si>
    <t>Birmingham</t>
  </si>
  <si>
    <t>Sheff W</t>
  </si>
  <si>
    <t>Swansea</t>
  </si>
  <si>
    <t>Southampton</t>
  </si>
  <si>
    <t>Middlesbro</t>
  </si>
  <si>
    <t>Watford</t>
  </si>
  <si>
    <t>Leeds</t>
  </si>
  <si>
    <t>Barnsley</t>
  </si>
  <si>
    <t>Cambridge</t>
  </si>
  <si>
    <t>Blackpool</t>
  </si>
  <si>
    <t>Exeter</t>
  </si>
  <si>
    <t>Charlton</t>
  </si>
  <si>
    <t>Fleetwood</t>
  </si>
  <si>
    <t>Cheltenham</t>
  </si>
  <si>
    <t>Lincoln</t>
  </si>
  <si>
    <t>Orient</t>
  </si>
  <si>
    <t>Peterborough</t>
  </si>
  <si>
    <t>Bristol R</t>
  </si>
  <si>
    <t>Reading</t>
  </si>
  <si>
    <t>Shrewsbury</t>
  </si>
  <si>
    <t>Oxford</t>
  </si>
  <si>
    <t>Bolton</t>
  </si>
  <si>
    <t>Walsall</t>
  </si>
  <si>
    <t>Swindon</t>
  </si>
  <si>
    <t>Premier</t>
  </si>
  <si>
    <t>Bournemouth</t>
  </si>
  <si>
    <t>Everton</t>
  </si>
  <si>
    <t>Brentford</t>
  </si>
  <si>
    <t>Man U</t>
  </si>
  <si>
    <t>Chelsea</t>
  </si>
  <si>
    <t>Burnley</t>
  </si>
  <si>
    <t>Forest</t>
  </si>
  <si>
    <t>Newcastle</t>
  </si>
  <si>
    <t>Fulham</t>
  </si>
  <si>
    <t>Luton</t>
  </si>
  <si>
    <t>Wolves</t>
  </si>
  <si>
    <t>Liverpool</t>
  </si>
  <si>
    <t>Brighton</t>
  </si>
  <si>
    <t>Man C</t>
  </si>
  <si>
    <t>Arsenal</t>
  </si>
  <si>
    <t>Exeter draw</t>
  </si>
  <si>
    <t>Huddersfield Draw</t>
  </si>
  <si>
    <t>Bradford draw</t>
  </si>
  <si>
    <t>Shrewsbury draw</t>
  </si>
  <si>
    <t>Accrington draw</t>
  </si>
  <si>
    <t>Swindon draw</t>
  </si>
  <si>
    <t>Villa draw</t>
  </si>
  <si>
    <t>Man C draw</t>
  </si>
  <si>
    <t>Forest draw</t>
  </si>
  <si>
    <t>Newcastle draw</t>
  </si>
  <si>
    <t>Millwall draw</t>
  </si>
  <si>
    <t>Southampton draw</t>
  </si>
  <si>
    <t>Bournemouth draw</t>
  </si>
  <si>
    <t>Inactive: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</si>
</sst>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164" formatCode="&quot;£&quot;#,##0.00"/>
    <numFmt numFmtId="165" formatCode="&quot;£&quot;#,##0"/>
    <numFmt numFmtId="166" formatCode="d/m/yy;@"/>
    <numFmt numFmtId="167" formatCode="dddd\,\ dd"/>
    <numFmt numFmtId="168" formatCode="ddd\,\ d\ mmm"/>
    <numFmt numFmtId="169" formatCode="ddd\ dd\ mmm"/>
    <numFmt numFmtId="170" formatCode="0.00_ ;[Red]\-0.00\ "/>
    <numFmt numFmtId="171" formatCode="#,##0.00_ ;[Red]\-#,##0.00\ "/>
    <numFmt numFmtId="172" formatCode="#,##0_ ;[Red]\-#,##0\ "/>
    <numFmt numFmtId="173" formatCode="0_ ;[Red]\-0\ "/>
    <numFmt numFmtId="174" formatCode="d\-mmm"/>
    <numFmt numFmtId="175" formatCode="0.000"/>
    <numFmt numFmtId="176" formatCode="ddd\ dd\ mmm\ yy"/>
    <numFmt numFmtId="177" formatCode="ddd\,\ d\ mmmm"/>
    <numFmt numFmtId="178" formatCode="ddd"/>
    <numFmt numFmtId="179" formatCode="ddd\ \-d\ mmm"/>
    <numFmt numFmtId="180"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
      <b/>
      <sz val="11"/>
      <color rgb="FFFFFF00"/>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1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style="dotted">
        <color indexed="64"/>
      </top>
      <bottom/>
      <diagonal/>
    </border>
    <border>
      <left/>
      <right style="thick">
        <color indexed="64"/>
      </right>
      <top/>
      <bottom style="medium">
        <color indexed="64"/>
      </bottom>
      <diagonal/>
    </border>
    <border>
      <left/>
      <right style="thick">
        <color indexed="64"/>
      </right>
      <top/>
      <bottom style="dotted">
        <color indexed="64"/>
      </bottom>
      <diagonal/>
    </border>
    <border>
      <left style="thin">
        <color theme="1"/>
      </left>
      <right style="thin">
        <color theme="1"/>
      </right>
      <top style="thin">
        <color theme="1"/>
      </top>
      <bottom style="thin">
        <color theme="1"/>
      </bottom>
      <diagonal/>
    </border>
    <border>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n">
        <color indexed="65"/>
      </left>
      <right/>
      <top style="thin">
        <color rgb="FF999999"/>
      </top>
      <bottom/>
      <diagonal/>
    </border>
    <border>
      <left/>
      <right/>
      <top style="thin">
        <color rgb="FF999999"/>
      </top>
      <bottom style="thin">
        <color rgb="FF999999"/>
      </bottom>
      <diagonal/>
    </border>
  </borders>
  <cellStyleXfs count="2">
    <xf numFmtId="0" fontId="0" fillId="0" borderId="0"/>
    <xf numFmtId="0" fontId="2" fillId="0" borderId="0" applyNumberFormat="0" applyFill="0" applyBorder="0" applyAlignment="0" applyProtection="0">
      <alignment vertical="top"/>
      <protection locked="0"/>
    </xf>
  </cellStyleXfs>
  <cellXfs count="743">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0" fontId="4" fillId="0" borderId="0" xfId="0" applyFont="1"/>
    <xf numFmtId="166"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7" fontId="4" fillId="0" borderId="0" xfId="0" applyNumberFormat="1" applyFont="1"/>
    <xf numFmtId="167" fontId="0" fillId="0" borderId="0" xfId="0" applyNumberFormat="1"/>
    <xf numFmtId="0" fontId="4" fillId="0" borderId="0" xfId="0" applyFont="1" applyAlignment="1">
      <alignment horizontal="left"/>
    </xf>
    <xf numFmtId="168" fontId="0" fillId="0" borderId="0" xfId="0" applyNumberFormat="1" applyAlignment="1">
      <alignment horizontal="left"/>
    </xf>
    <xf numFmtId="169" fontId="0" fillId="0" borderId="0" xfId="0" applyNumberFormat="1" applyAlignment="1">
      <alignment horizontal="left"/>
    </xf>
    <xf numFmtId="16" fontId="0" fillId="0" borderId="0" xfId="0" applyNumberFormat="1"/>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8" fontId="4" fillId="3" borderId="0" xfId="0" applyNumberFormat="1" applyFont="1" applyFill="1" applyAlignment="1">
      <alignment horizontal="left"/>
    </xf>
    <xf numFmtId="166"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8"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0" fontId="5" fillId="0" borderId="0" xfId="0" applyNumberFormat="1" applyFont="1" applyAlignment="1">
      <alignment horizontal="center"/>
    </xf>
    <xf numFmtId="8" fontId="5" fillId="0" borderId="0" xfId="0" applyNumberFormat="1" applyFont="1" applyAlignment="1">
      <alignment horizontal="center"/>
    </xf>
    <xf numFmtId="171" fontId="5" fillId="0" borderId="0" xfId="0" applyNumberFormat="1" applyFont="1" applyAlignment="1">
      <alignment horizontal="center"/>
    </xf>
    <xf numFmtId="172"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6" xfId="0" applyFont="1" applyFill="1" applyBorder="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0" fontId="4" fillId="0" borderId="14" xfId="0" applyNumberFormat="1" applyFont="1" applyBorder="1"/>
    <xf numFmtId="0" fontId="4" fillId="0" borderId="9" xfId="0" applyFont="1" applyBorder="1" applyAlignment="1">
      <alignment horizontal="center"/>
    </xf>
    <xf numFmtId="0" fontId="4" fillId="0" borderId="13" xfId="0" applyFont="1" applyBorder="1"/>
    <xf numFmtId="170" fontId="7" fillId="8" borderId="0" xfId="0" applyNumberFormat="1" applyFont="1" applyFill="1"/>
    <xf numFmtId="0" fontId="0" fillId="8" borderId="0" xfId="0" applyFill="1"/>
    <xf numFmtId="0" fontId="0" fillId="8" borderId="0" xfId="0" applyFill="1" applyAlignment="1">
      <alignment horizontal="left"/>
    </xf>
    <xf numFmtId="170"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6" xfId="1" applyFont="1" applyFill="1" applyBorder="1" applyAlignment="1" applyProtection="1"/>
    <xf numFmtId="170" fontId="4" fillId="8" borderId="0" xfId="0" applyNumberFormat="1" applyFont="1" applyFill="1"/>
    <xf numFmtId="170" fontId="0" fillId="8" borderId="0" xfId="0" applyNumberFormat="1" applyFill="1"/>
    <xf numFmtId="0" fontId="4" fillId="8" borderId="6" xfId="0" applyFont="1" applyFill="1" applyBorder="1"/>
    <xf numFmtId="0" fontId="19" fillId="9" borderId="14" xfId="0" applyFont="1" applyFill="1" applyBorder="1"/>
    <xf numFmtId="168" fontId="4" fillId="8" borderId="0" xfId="0" applyNumberFormat="1" applyFont="1" applyFill="1" applyAlignment="1">
      <alignment horizontal="left"/>
    </xf>
    <xf numFmtId="170" fontId="4" fillId="8" borderId="14" xfId="0" applyNumberFormat="1" applyFont="1" applyFill="1" applyBorder="1"/>
    <xf numFmtId="0" fontId="0" fillId="0" borderId="6" xfId="0" applyBorder="1"/>
    <xf numFmtId="0" fontId="0" fillId="0" borderId="10" xfId="0" applyBorder="1"/>
    <xf numFmtId="165" fontId="0" fillId="0" borderId="10" xfId="0" applyNumberFormat="1" applyBorder="1"/>
    <xf numFmtId="6" fontId="0" fillId="0" borderId="10" xfId="0" applyNumberFormat="1" applyBorder="1"/>
    <xf numFmtId="0" fontId="0" fillId="0" borderId="11" xfId="0" applyBorder="1"/>
    <xf numFmtId="165" fontId="0" fillId="0" borderId="13" xfId="0" applyNumberFormat="1" applyBorder="1"/>
    <xf numFmtId="173" fontId="5" fillId="0" borderId="0" xfId="0" applyNumberFormat="1" applyFont="1" applyAlignment="1">
      <alignment horizontal="center"/>
    </xf>
    <xf numFmtId="0" fontId="4" fillId="0" borderId="6" xfId="0" applyFont="1" applyBorder="1"/>
    <xf numFmtId="0" fontId="1" fillId="0" borderId="6" xfId="0" applyFont="1" applyBorder="1"/>
    <xf numFmtId="165"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0" fontId="0" fillId="0" borderId="0" xfId="0" applyNumberFormat="1" applyAlignment="1">
      <alignment horizontal="center"/>
    </xf>
    <xf numFmtId="170"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16" fontId="24" fillId="8" borderId="0" xfId="0" applyNumberFormat="1" applyFont="1" applyFill="1" applyAlignment="1">
      <alignment horizontal="left"/>
    </xf>
    <xf numFmtId="0" fontId="19" fillId="8" borderId="0" xfId="0" applyFont="1" applyFill="1" applyAlignment="1">
      <alignment horizontal="left"/>
    </xf>
    <xf numFmtId="169" fontId="0" fillId="8" borderId="0" xfId="0" applyNumberFormat="1" applyFill="1" applyAlignment="1">
      <alignment horizontal="left"/>
    </xf>
    <xf numFmtId="170"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5"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75" fontId="4" fillId="0" borderId="0" xfId="0" applyNumberFormat="1" applyFont="1" applyAlignment="1">
      <alignment horizontal="center"/>
    </xf>
    <xf numFmtId="175" fontId="0" fillId="0" borderId="0" xfId="0" applyNumberFormat="1" applyAlignment="1">
      <alignment horizontal="center"/>
    </xf>
    <xf numFmtId="175" fontId="0" fillId="0" borderId="0" xfId="0" applyNumberFormat="1"/>
    <xf numFmtId="175" fontId="4" fillId="0" borderId="0" xfId="0" applyNumberFormat="1" applyFont="1"/>
    <xf numFmtId="175" fontId="4" fillId="5" borderId="0" xfId="0" quotePrefix="1" applyNumberFormat="1" applyFont="1" applyFill="1" applyAlignment="1">
      <alignment horizontal="center"/>
    </xf>
    <xf numFmtId="175" fontId="0" fillId="5" borderId="0" xfId="0" applyNumberFormat="1" applyFill="1" applyAlignment="1">
      <alignment horizontal="center"/>
    </xf>
    <xf numFmtId="175" fontId="0" fillId="12" borderId="0" xfId="0" applyNumberFormat="1" applyFill="1" applyAlignment="1">
      <alignment horizontal="center"/>
    </xf>
    <xf numFmtId="175" fontId="0" fillId="13" borderId="0" xfId="0" applyNumberFormat="1" applyFill="1" applyAlignment="1">
      <alignment horizontal="center"/>
    </xf>
    <xf numFmtId="0" fontId="23" fillId="0" borderId="6" xfId="0" applyFont="1" applyBorder="1"/>
    <xf numFmtId="165" fontId="23" fillId="0" borderId="10" xfId="0" applyNumberFormat="1" applyFont="1" applyBorder="1"/>
    <xf numFmtId="2" fontId="0" fillId="13" borderId="0" xfId="0" applyNumberFormat="1"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0" fontId="0" fillId="0" borderId="0" xfId="0" applyNumberFormat="1"/>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5"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1" fontId="20" fillId="8" borderId="0" xfId="0" applyNumberFormat="1" applyFont="1" applyFill="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8" fontId="25" fillId="0" borderId="14" xfId="0" applyNumberFormat="1" applyFont="1" applyBorder="1" applyAlignment="1">
      <alignment horizontal="left" vertical="center"/>
    </xf>
    <xf numFmtId="170"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8"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1"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0"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2" fontId="5" fillId="15" borderId="14" xfId="0" applyNumberFormat="1" applyFont="1" applyFill="1" applyBorder="1" applyAlignment="1">
      <alignment horizontal="right"/>
    </xf>
    <xf numFmtId="173" fontId="5" fillId="16" borderId="14" xfId="0" applyNumberFormat="1" applyFont="1" applyFill="1" applyBorder="1" applyAlignment="1">
      <alignment horizontal="right"/>
    </xf>
    <xf numFmtId="170" fontId="5" fillId="8" borderId="14" xfId="0" applyNumberFormat="1" applyFont="1" applyFill="1" applyBorder="1" applyAlignment="1">
      <alignment horizontal="right"/>
    </xf>
    <xf numFmtId="170"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0" fontId="0" fillId="0" borderId="50" xfId="0" applyNumberFormat="1" applyBorder="1" applyAlignment="1">
      <alignment horizontal="center"/>
    </xf>
    <xf numFmtId="170" fontId="4" fillId="0" borderId="50" xfId="0" applyNumberFormat="1" applyFont="1" applyBorder="1" applyAlignment="1">
      <alignment horizontal="center"/>
    </xf>
    <xf numFmtId="170"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0" fontId="18" fillId="9" borderId="56" xfId="0" applyNumberFormat="1" applyFont="1" applyFill="1" applyBorder="1" applyAlignment="1">
      <alignment horizontal="center" wrapText="1"/>
    </xf>
    <xf numFmtId="170"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8"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0" fontId="0" fillId="0" borderId="57" xfId="0" applyNumberFormat="1" applyBorder="1" applyAlignment="1">
      <alignment horizontal="center"/>
    </xf>
    <xf numFmtId="1" fontId="0" fillId="0" borderId="15" xfId="0" applyNumberFormat="1" applyBorder="1" applyAlignment="1">
      <alignment horizontal="center"/>
    </xf>
    <xf numFmtId="170"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7"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0" fontId="26" fillId="8" borderId="14" xfId="0" applyNumberFormat="1" applyFont="1" applyFill="1" applyBorder="1" applyAlignment="1">
      <alignment horizontal="right" vertical="center"/>
    </xf>
    <xf numFmtId="170"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0" fontId="26" fillId="8" borderId="67" xfId="0" applyNumberFormat="1" applyFont="1" applyFill="1" applyBorder="1" applyAlignment="1">
      <alignment horizontal="right" vertical="center"/>
    </xf>
    <xf numFmtId="1" fontId="25" fillId="8" borderId="67" xfId="0" applyNumberFormat="1" applyFont="1" applyFill="1" applyBorder="1" applyAlignment="1">
      <alignment horizontal="center" vertical="center"/>
    </xf>
    <xf numFmtId="0" fontId="26" fillId="8" borderId="67" xfId="0" applyFont="1" applyFill="1" applyBorder="1" applyAlignment="1">
      <alignment vertical="center" shrinkToFit="1"/>
    </xf>
    <xf numFmtId="0" fontId="6" fillId="17" borderId="14" xfId="0" applyFont="1" applyFill="1" applyBorder="1" applyAlignment="1">
      <alignment horizontal="right" vertical="top"/>
    </xf>
    <xf numFmtId="0" fontId="40" fillId="10" borderId="14" xfId="0" applyFont="1" applyFill="1" applyBorder="1" applyAlignment="1">
      <alignment horizontal="left" vertical="top"/>
    </xf>
    <xf numFmtId="49" fontId="40"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1"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0"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2" fontId="6" fillId="15" borderId="14" xfId="0" applyNumberFormat="1" applyFont="1" applyFill="1" applyBorder="1" applyAlignment="1">
      <alignment horizontal="right" vertical="top"/>
    </xf>
    <xf numFmtId="173"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69" xfId="0" pivotButton="1" applyBorder="1"/>
    <xf numFmtId="0" fontId="0" fillId="0" borderId="70" xfId="0" applyBorder="1"/>
    <xf numFmtId="0" fontId="4" fillId="18" borderId="58" xfId="0" applyFont="1" applyFill="1" applyBorder="1" applyAlignment="1">
      <alignment horizontal="center"/>
    </xf>
    <xf numFmtId="0" fontId="0" fillId="0" borderId="59" xfId="0" applyBorder="1" applyAlignment="1">
      <alignment horizontal="left"/>
    </xf>
    <xf numFmtId="170" fontId="0" fillId="0" borderId="60" xfId="0" applyNumberFormat="1" applyBorder="1" applyAlignment="1">
      <alignment horizontal="center"/>
    </xf>
    <xf numFmtId="1" fontId="0" fillId="0" borderId="59" xfId="0" applyNumberFormat="1" applyBorder="1" applyAlignment="1">
      <alignment horizontal="center"/>
    </xf>
    <xf numFmtId="170"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0" fontId="0" fillId="0" borderId="63" xfId="0" applyNumberFormat="1" applyBorder="1" applyAlignment="1">
      <alignment horizontal="center"/>
    </xf>
    <xf numFmtId="1" fontId="0" fillId="0" borderId="62" xfId="0" applyNumberFormat="1" applyBorder="1" applyAlignment="1">
      <alignment horizontal="center"/>
    </xf>
    <xf numFmtId="170"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3" fontId="0" fillId="8" borderId="0" xfId="0" applyNumberFormat="1" applyFill="1" applyAlignment="1">
      <alignment horizontal="left"/>
    </xf>
    <xf numFmtId="173" fontId="0" fillId="0" borderId="0" xfId="0" applyNumberFormat="1" applyAlignment="1">
      <alignment horizontal="left"/>
    </xf>
    <xf numFmtId="164" fontId="0" fillId="0" borderId="10" xfId="0" applyNumberFormat="1" applyBorder="1"/>
    <xf numFmtId="0" fontId="29" fillId="9" borderId="66" xfId="0" applyFont="1" applyFill="1" applyBorder="1" applyAlignment="1">
      <alignment vertical="center"/>
    </xf>
    <xf numFmtId="0" fontId="41" fillId="11" borderId="75" xfId="0" applyFont="1" applyFill="1" applyBorder="1" applyAlignment="1">
      <alignment vertical="center"/>
    </xf>
    <xf numFmtId="0" fontId="41" fillId="11" borderId="76" xfId="0" applyFont="1" applyFill="1" applyBorder="1" applyAlignment="1">
      <alignment vertical="center"/>
    </xf>
    <xf numFmtId="0" fontId="41" fillId="11" borderId="77" xfId="0" applyFont="1" applyFill="1" applyBorder="1" applyAlignment="1">
      <alignment vertical="center"/>
    </xf>
    <xf numFmtId="0" fontId="42" fillId="8" borderId="0" xfId="1" applyFont="1" applyFill="1" applyAlignment="1" applyProtection="1"/>
    <xf numFmtId="0" fontId="42" fillId="0" borderId="0" xfId="1" applyFont="1" applyAlignment="1" applyProtection="1"/>
    <xf numFmtId="0" fontId="42" fillId="8" borderId="0" xfId="1" applyFont="1" applyFill="1" applyAlignment="1" applyProtection="1">
      <alignment wrapText="1"/>
    </xf>
    <xf numFmtId="2" fontId="2" fillId="0" borderId="0" xfId="1" applyNumberFormat="1" applyAlignment="1" applyProtection="1">
      <alignment horizontal="center" vertical="center"/>
    </xf>
    <xf numFmtId="0" fontId="43" fillId="9" borderId="0" xfId="0" applyFont="1" applyFill="1" applyAlignment="1">
      <alignment vertical="center"/>
    </xf>
    <xf numFmtId="170" fontId="26" fillId="0" borderId="14" xfId="0" applyNumberFormat="1" applyFont="1" applyBorder="1" applyAlignment="1">
      <alignment horizontal="right" vertical="center"/>
    </xf>
    <xf numFmtId="170" fontId="39"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0"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4" fillId="8" borderId="0" xfId="0" applyNumberFormat="1" applyFont="1" applyFill="1" applyAlignment="1">
      <alignment horizontal="center" vertical="center"/>
    </xf>
    <xf numFmtId="0" fontId="45" fillId="9" borderId="14" xfId="0" applyFont="1" applyFill="1" applyBorder="1" applyAlignment="1">
      <alignment horizontal="right" vertical="center" wrapText="1"/>
    </xf>
    <xf numFmtId="170"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0"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6" fillId="8" borderId="18" xfId="0" applyFont="1" applyFill="1" applyBorder="1" applyAlignment="1">
      <alignment vertical="center"/>
    </xf>
    <xf numFmtId="0" fontId="47" fillId="8" borderId="14" xfId="0" applyFont="1" applyFill="1" applyBorder="1" applyAlignment="1">
      <alignment horizontal="center" vertical="center"/>
    </xf>
    <xf numFmtId="0" fontId="48" fillId="8" borderId="0" xfId="0" applyFont="1" applyFill="1" applyAlignment="1">
      <alignment horizontal="right" vertical="center"/>
    </xf>
    <xf numFmtId="0" fontId="20" fillId="8" borderId="0" xfId="0" applyFont="1" applyFill="1" applyAlignment="1">
      <alignment horizontal="center"/>
    </xf>
    <xf numFmtId="0" fontId="47"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4" fillId="8" borderId="0" xfId="0" applyFont="1" applyFill="1" applyAlignment="1">
      <alignment horizontal="center"/>
    </xf>
    <xf numFmtId="2" fontId="44" fillId="8" borderId="0" xfId="0" applyNumberFormat="1" applyFont="1" applyFill="1" applyAlignment="1">
      <alignment horizontal="center"/>
    </xf>
    <xf numFmtId="0" fontId="20" fillId="0" borderId="0" xfId="0" applyFont="1"/>
    <xf numFmtId="0" fontId="4" fillId="5" borderId="7" xfId="0" applyFont="1" applyFill="1" applyBorder="1" applyAlignment="1">
      <alignment horizontal="center" wrapText="1"/>
    </xf>
    <xf numFmtId="2" fontId="48"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170" fontId="49" fillId="8" borderId="14" xfId="0" applyNumberFormat="1" applyFont="1" applyFill="1" applyBorder="1" applyAlignment="1">
      <alignment horizontal="center"/>
    </xf>
    <xf numFmtId="0" fontId="49" fillId="8" borderId="14" xfId="0" applyFont="1" applyFill="1" applyBorder="1" applyAlignment="1">
      <alignment horizontal="left"/>
    </xf>
    <xf numFmtId="173" fontId="49" fillId="8" borderId="14" xfId="0" applyNumberFormat="1" applyFont="1" applyFill="1" applyBorder="1" applyAlignment="1">
      <alignment horizontal="left"/>
    </xf>
    <xf numFmtId="170" fontId="50"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1" fillId="9" borderId="78" xfId="0" applyFont="1" applyFill="1" applyBorder="1"/>
    <xf numFmtId="0" fontId="52" fillId="8" borderId="78" xfId="0" applyFont="1" applyFill="1" applyBorder="1" applyAlignment="1">
      <alignment shrinkToFit="1"/>
    </xf>
    <xf numFmtId="0" fontId="52" fillId="8" borderId="79" xfId="0" applyFont="1" applyFill="1" applyBorder="1" applyAlignment="1">
      <alignment shrinkToFit="1"/>
    </xf>
    <xf numFmtId="0" fontId="52" fillId="8" borderId="80" xfId="0" applyFont="1" applyFill="1" applyBorder="1" applyAlignment="1">
      <alignment shrinkToFit="1"/>
    </xf>
    <xf numFmtId="0" fontId="52" fillId="8" borderId="78" xfId="0" applyFont="1" applyFill="1" applyBorder="1" applyAlignment="1">
      <alignment vertical="center" shrinkToFit="1"/>
    </xf>
    <xf numFmtId="170" fontId="53" fillId="8" borderId="78" xfId="0" applyNumberFormat="1" applyFont="1" applyFill="1" applyBorder="1" applyAlignment="1">
      <alignment vertical="center" shrinkToFit="1"/>
    </xf>
    <xf numFmtId="0" fontId="52" fillId="8" borderId="81" xfId="0" applyFont="1" applyFill="1" applyBorder="1" applyAlignment="1">
      <alignment vertical="center" shrinkToFit="1"/>
    </xf>
    <xf numFmtId="0" fontId="52" fillId="8" borderId="79" xfId="0" applyFont="1" applyFill="1" applyBorder="1" applyAlignment="1">
      <alignment vertical="center" shrinkToFit="1"/>
    </xf>
    <xf numFmtId="170" fontId="53" fillId="8" borderId="79" xfId="0" applyNumberFormat="1" applyFont="1" applyFill="1" applyBorder="1" applyAlignment="1">
      <alignment vertical="center" shrinkToFit="1"/>
    </xf>
    <xf numFmtId="0" fontId="52" fillId="8" borderId="82" xfId="0" applyFont="1" applyFill="1" applyBorder="1" applyAlignment="1">
      <alignment vertical="center" shrinkToFit="1"/>
    </xf>
    <xf numFmtId="0" fontId="54" fillId="8" borderId="80" xfId="0" applyFont="1" applyFill="1" applyBorder="1" applyAlignment="1">
      <alignment vertical="center" shrinkToFit="1"/>
    </xf>
    <xf numFmtId="0" fontId="54" fillId="8" borderId="78" xfId="0" applyFont="1" applyFill="1" applyBorder="1" applyAlignment="1">
      <alignment vertical="center" shrinkToFit="1"/>
    </xf>
    <xf numFmtId="170" fontId="55" fillId="8" borderId="80" xfId="0" applyNumberFormat="1" applyFont="1" applyFill="1" applyBorder="1" applyAlignment="1">
      <alignment vertical="center" shrinkToFit="1"/>
    </xf>
    <xf numFmtId="0" fontId="54" fillId="8" borderId="83" xfId="0" applyFont="1" applyFill="1" applyBorder="1" applyAlignment="1">
      <alignment vertical="center" shrinkToFit="1"/>
    </xf>
    <xf numFmtId="0" fontId="54" fillId="8" borderId="84" xfId="0" applyFont="1" applyFill="1" applyBorder="1" applyAlignment="1">
      <alignment vertical="center" shrinkToFit="1"/>
    </xf>
    <xf numFmtId="170" fontId="55" fillId="8" borderId="78" xfId="0" applyNumberFormat="1" applyFont="1" applyFill="1" applyBorder="1" applyAlignment="1">
      <alignment vertical="center" shrinkToFit="1"/>
    </xf>
    <xf numFmtId="0" fontId="54" fillId="8" borderId="81" xfId="0" applyFont="1" applyFill="1" applyBorder="1" applyAlignment="1">
      <alignment vertical="center" shrinkToFit="1"/>
    </xf>
    <xf numFmtId="0" fontId="54" fillId="8" borderId="85" xfId="0" applyFont="1" applyFill="1" applyBorder="1" applyAlignment="1">
      <alignment vertical="center" shrinkToFit="1"/>
    </xf>
    <xf numFmtId="170" fontId="54" fillId="8" borderId="78" xfId="0" applyNumberFormat="1" applyFont="1" applyFill="1" applyBorder="1" applyAlignment="1">
      <alignment vertical="center" shrinkToFit="1"/>
    </xf>
    <xf numFmtId="0" fontId="55" fillId="8" borderId="78" xfId="0" applyFont="1" applyFill="1" applyBorder="1" applyAlignment="1">
      <alignment vertical="center" shrinkToFit="1"/>
    </xf>
    <xf numFmtId="170"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6"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5"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0"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5" fontId="4" fillId="4" borderId="38" xfId="0" applyNumberFormat="1" applyFont="1" applyFill="1" applyBorder="1" applyAlignment="1">
      <alignment horizontal="center"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5"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0" fillId="0" borderId="69" xfId="0" applyBorder="1"/>
    <xf numFmtId="0" fontId="0" fillId="0" borderId="71" xfId="0" applyBorder="1"/>
    <xf numFmtId="0" fontId="0" fillId="0" borderId="73" xfId="0" applyBorder="1"/>
    <xf numFmtId="170" fontId="26" fillId="0" borderId="67" xfId="0" quotePrefix="1" applyNumberFormat="1" applyFont="1" applyBorder="1" applyAlignment="1">
      <alignment horizontal="right" vertical="center"/>
    </xf>
    <xf numFmtId="0" fontId="18" fillId="9" borderId="87" xfId="0" applyFont="1" applyFill="1" applyBorder="1" applyAlignment="1">
      <alignment vertical="center"/>
    </xf>
    <xf numFmtId="8" fontId="4" fillId="0" borderId="0" xfId="0" applyNumberFormat="1" applyFont="1" applyAlignment="1">
      <alignment horizontal="right"/>
    </xf>
    <xf numFmtId="0" fontId="19" fillId="9" borderId="43" xfId="0" applyFont="1" applyFill="1" applyBorder="1" applyAlignment="1">
      <alignment horizontal="left"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2" fillId="18" borderId="85" xfId="0" applyFont="1" applyFill="1" applyBorder="1" applyAlignment="1">
      <alignment vertical="center" shrinkToFit="1"/>
    </xf>
    <xf numFmtId="0" fontId="52" fillId="18" borderId="86" xfId="0" applyFont="1" applyFill="1" applyBorder="1" applyAlignment="1">
      <alignment vertical="center" shrinkToFit="1"/>
    </xf>
    <xf numFmtId="0" fontId="59" fillId="19" borderId="84" xfId="0" applyFont="1" applyFill="1" applyBorder="1" applyAlignment="1">
      <alignment vertical="center" shrinkToFit="1"/>
    </xf>
    <xf numFmtId="0" fontId="59" fillId="19" borderId="85" xfId="0" applyFont="1" applyFill="1" applyBorder="1" applyAlignment="1">
      <alignment vertical="center" shrinkToFit="1"/>
    </xf>
    <xf numFmtId="0" fontId="59" fillId="19" borderId="80" xfId="0" applyFont="1" applyFill="1" applyBorder="1" applyAlignment="1">
      <alignment vertical="center" shrinkToFit="1"/>
    </xf>
    <xf numFmtId="0" fontId="59" fillId="19" borderId="78"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0" fontId="4" fillId="22" borderId="52" xfId="0" applyFont="1" applyFill="1" applyBorder="1" applyAlignment="1">
      <alignment horizontal="center"/>
    </xf>
    <xf numFmtId="170" fontId="55" fillId="0" borderId="80" xfId="0" applyNumberFormat="1" applyFont="1" applyBorder="1" applyAlignment="1">
      <alignment vertical="center" shrinkToFit="1"/>
    </xf>
    <xf numFmtId="0" fontId="54" fillId="0" borderId="83" xfId="0" applyFont="1" applyBorder="1" applyAlignment="1">
      <alignment vertical="center" shrinkToFit="1"/>
    </xf>
    <xf numFmtId="0" fontId="54" fillId="0" borderId="85" xfId="0" applyFont="1" applyBorder="1" applyAlignment="1">
      <alignment vertical="center" shrinkToFit="1"/>
    </xf>
    <xf numFmtId="170" fontId="55" fillId="0" borderId="78" xfId="0" applyNumberFormat="1" applyFont="1" applyBorder="1" applyAlignment="1">
      <alignment vertical="center" shrinkToFit="1"/>
    </xf>
    <xf numFmtId="0" fontId="54" fillId="0" borderId="81" xfId="0" applyFont="1" applyBorder="1" applyAlignment="1">
      <alignment vertical="center" shrinkToFit="1"/>
    </xf>
    <xf numFmtId="170" fontId="55" fillId="0" borderId="79" xfId="0" applyNumberFormat="1" applyFont="1" applyBorder="1" applyAlignment="1">
      <alignment vertical="center" shrinkToFit="1"/>
    </xf>
    <xf numFmtId="0" fontId="54" fillId="0" borderId="82" xfId="0" applyFont="1" applyBorder="1" applyAlignment="1">
      <alignment vertical="center" shrinkToFit="1"/>
    </xf>
    <xf numFmtId="0" fontId="54" fillId="0" borderId="86" xfId="0" applyFont="1" applyBorder="1" applyAlignment="1">
      <alignment vertical="center" shrinkToFit="1"/>
    </xf>
    <xf numFmtId="0" fontId="54" fillId="21" borderId="78" xfId="0" applyFont="1" applyFill="1" applyBorder="1" applyAlignment="1">
      <alignment vertical="center" shrinkToFit="1"/>
    </xf>
    <xf numFmtId="0" fontId="54" fillId="21" borderId="79" xfId="0" applyFont="1" applyFill="1" applyBorder="1" applyAlignment="1">
      <alignment vertical="center" shrinkToFit="1"/>
    </xf>
    <xf numFmtId="0" fontId="54" fillId="21" borderId="84" xfId="0" applyFont="1" applyFill="1" applyBorder="1" applyAlignment="1">
      <alignment vertical="center" shrinkToFit="1"/>
    </xf>
    <xf numFmtId="0" fontId="54" fillId="21" borderId="85" xfId="0" applyFont="1" applyFill="1" applyBorder="1" applyAlignment="1">
      <alignment vertical="center" shrinkToFit="1"/>
    </xf>
    <xf numFmtId="0" fontId="54" fillId="20" borderId="85" xfId="0" applyFont="1" applyFill="1" applyBorder="1" applyAlignment="1">
      <alignment vertical="center" shrinkToFit="1"/>
    </xf>
    <xf numFmtId="0" fontId="54" fillId="20" borderId="86" xfId="0" applyFont="1" applyFill="1" applyBorder="1" applyAlignment="1">
      <alignment vertical="center" shrinkToFit="1"/>
    </xf>
    <xf numFmtId="0" fontId="54" fillId="20" borderId="84" xfId="0" applyFont="1" applyFill="1" applyBorder="1" applyAlignment="1">
      <alignment vertical="center" shrinkToFit="1"/>
    </xf>
    <xf numFmtId="0" fontId="59" fillId="22" borderId="85" xfId="0" applyFont="1" applyFill="1" applyBorder="1" applyAlignment="1">
      <alignment vertical="center" shrinkToFit="1"/>
    </xf>
    <xf numFmtId="0" fontId="59" fillId="22" borderId="86" xfId="0" applyFont="1" applyFill="1" applyBorder="1" applyAlignment="1">
      <alignment vertical="center" shrinkToFit="1"/>
    </xf>
    <xf numFmtId="0" fontId="59" fillId="22" borderId="84" xfId="0" applyFont="1" applyFill="1" applyBorder="1" applyAlignment="1">
      <alignment vertical="center" shrinkToFit="1"/>
    </xf>
    <xf numFmtId="0" fontId="0" fillId="19" borderId="0" xfId="0" applyFill="1"/>
    <xf numFmtId="0" fontId="23" fillId="8" borderId="0" xfId="0" applyFont="1" applyFill="1"/>
    <xf numFmtId="49" fontId="5" fillId="0" borderId="0" xfId="0" applyNumberFormat="1" applyFont="1"/>
    <xf numFmtId="170" fontId="5" fillId="0" borderId="0" xfId="0" applyNumberFormat="1" applyFont="1"/>
    <xf numFmtId="1" fontId="5" fillId="0" borderId="0" xfId="0" applyNumberFormat="1" applyFont="1"/>
    <xf numFmtId="40" fontId="5" fillId="0" borderId="0" xfId="0" applyNumberFormat="1" applyFont="1"/>
    <xf numFmtId="0" fontId="0" fillId="0" borderId="90" xfId="0" applyBorder="1"/>
    <xf numFmtId="169" fontId="20" fillId="8" borderId="0" xfId="0" applyNumberFormat="1" applyFont="1" applyFill="1" applyAlignment="1">
      <alignment horizontal="left"/>
    </xf>
    <xf numFmtId="16" fontId="19" fillId="9" borderId="0" xfId="0" applyNumberFormat="1" applyFont="1" applyFill="1" applyAlignment="1">
      <alignment horizontal="left"/>
    </xf>
    <xf numFmtId="0" fontId="19" fillId="9" borderId="0" xfId="0" applyFont="1" applyFill="1" applyAlignment="1">
      <alignment horizontal="center"/>
    </xf>
    <xf numFmtId="178" fontId="4" fillId="8" borderId="0" xfId="0" applyNumberFormat="1" applyFont="1" applyFill="1" applyAlignment="1">
      <alignment horizontal="left"/>
    </xf>
    <xf numFmtId="178" fontId="0" fillId="0" borderId="0" xfId="0" applyNumberFormat="1" applyAlignment="1">
      <alignment horizontal="left"/>
    </xf>
    <xf numFmtId="178" fontId="4" fillId="4" borderId="25" xfId="0" applyNumberFormat="1" applyFont="1" applyFill="1" applyBorder="1" applyAlignment="1">
      <alignment horizontal="center" vertical="center"/>
    </xf>
    <xf numFmtId="178" fontId="4" fillId="4" borderId="33" xfId="0" applyNumberFormat="1" applyFont="1" applyFill="1" applyBorder="1" applyAlignment="1">
      <alignment horizontal="center" vertical="center"/>
    </xf>
    <xf numFmtId="173" fontId="50" fillId="9" borderId="14" xfId="0" applyNumberFormat="1" applyFont="1" applyFill="1" applyBorder="1" applyAlignment="1">
      <alignment horizontal="left" vertical="center" wrapText="1"/>
    </xf>
    <xf numFmtId="0" fontId="56" fillId="9" borderId="22" xfId="0" applyFont="1" applyFill="1" applyBorder="1" applyAlignment="1">
      <alignment horizontal="left" vertical="center"/>
    </xf>
    <xf numFmtId="0" fontId="56" fillId="9" borderId="0" xfId="1" applyFont="1" applyFill="1" applyAlignment="1" applyProtection="1">
      <alignment horizontal="right" vertical="center"/>
    </xf>
    <xf numFmtId="0" fontId="56" fillId="9" borderId="0" xfId="0" applyFont="1" applyFill="1" applyAlignment="1">
      <alignment horizontal="left" vertical="center"/>
    </xf>
    <xf numFmtId="0" fontId="0" fillId="0" borderId="91" xfId="0" applyBorder="1"/>
    <xf numFmtId="0" fontId="1" fillId="2" borderId="47" xfId="0" applyFont="1" applyFill="1" applyBorder="1" applyAlignment="1">
      <alignment horizontal="left" vertical="top"/>
    </xf>
    <xf numFmtId="176" fontId="19" fillId="9" borderId="14" xfId="0" applyNumberFormat="1" applyFont="1" applyFill="1" applyBorder="1" applyAlignment="1">
      <alignment horizontal="left" vertical="center" wrapText="1"/>
    </xf>
    <xf numFmtId="0" fontId="62" fillId="8" borderId="21" xfId="0" applyFont="1" applyFill="1" applyBorder="1" applyAlignment="1">
      <alignment horizontal="center" vertical="center" shrinkToFit="1"/>
    </xf>
    <xf numFmtId="0" fontId="56" fillId="9" borderId="21" xfId="0" applyFont="1" applyFill="1" applyBorder="1" applyAlignment="1">
      <alignment horizontal="left" vertical="center"/>
    </xf>
    <xf numFmtId="0" fontId="26" fillId="8" borderId="14" xfId="0" applyFont="1" applyFill="1" applyBorder="1" applyAlignment="1">
      <alignment horizontal="righ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right" vertical="center"/>
    </xf>
    <xf numFmtId="0" fontId="56" fillId="9" borderId="22" xfId="0" applyFont="1" applyFill="1" applyBorder="1" applyAlignment="1">
      <alignment horizontal="center" vertical="center"/>
    </xf>
    <xf numFmtId="0" fontId="56"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2" fillId="8" borderId="14" xfId="0" applyFont="1" applyFill="1" applyBorder="1" applyAlignment="1">
      <alignment horizontal="center" vertical="center" shrinkToFit="1"/>
    </xf>
    <xf numFmtId="0" fontId="63" fillId="9" borderId="21" xfId="0" applyFont="1" applyFill="1" applyBorder="1" applyAlignment="1">
      <alignment horizontal="center" vertical="center"/>
    </xf>
    <xf numFmtId="0" fontId="63" fillId="9" borderId="21" xfId="0" applyFont="1" applyFill="1" applyBorder="1" applyAlignment="1">
      <alignment horizontal="center" vertical="center" wrapText="1"/>
    </xf>
    <xf numFmtId="0" fontId="54" fillId="0" borderId="94" xfId="0" applyFont="1" applyBorder="1" applyAlignment="1">
      <alignment horizontal="center" vertical="center" shrinkToFit="1"/>
    </xf>
    <xf numFmtId="0" fontId="54" fillId="0" borderId="95" xfId="0" applyFont="1" applyBorder="1" applyAlignment="1">
      <alignment horizontal="center" vertical="center" shrinkToFit="1"/>
    </xf>
    <xf numFmtId="0" fontId="54" fillId="0" borderId="96" xfId="0" applyFont="1" applyBorder="1" applyAlignment="1">
      <alignment horizontal="center" vertical="center" shrinkToFit="1"/>
    </xf>
    <xf numFmtId="0" fontId="54" fillId="0" borderId="94" xfId="0" quotePrefix="1" applyFont="1" applyBorder="1" applyAlignment="1">
      <alignment horizontal="center" vertical="center" shrinkToFit="1"/>
    </xf>
    <xf numFmtId="2" fontId="54" fillId="0" borderId="16" xfId="0" applyNumberFormat="1" applyFont="1" applyBorder="1" applyAlignment="1">
      <alignment horizontal="center" vertical="center" shrinkToFit="1"/>
    </xf>
    <xf numFmtId="2" fontId="54" fillId="0" borderId="92" xfId="0" applyNumberFormat="1" applyFont="1" applyBorder="1" applyAlignment="1">
      <alignment horizontal="center" vertical="center" shrinkToFit="1"/>
    </xf>
    <xf numFmtId="2" fontId="54" fillId="0" borderId="93" xfId="0" applyNumberFormat="1" applyFont="1" applyBorder="1" applyAlignment="1">
      <alignment horizontal="center" vertical="center" shrinkToFit="1"/>
    </xf>
    <xf numFmtId="2" fontId="54" fillId="0" borderId="16" xfId="0" quotePrefix="1" applyNumberFormat="1" applyFont="1" applyBorder="1" applyAlignment="1">
      <alignment horizontal="center" vertical="center" shrinkToFit="1"/>
    </xf>
    <xf numFmtId="0" fontId="26" fillId="0" borderId="94" xfId="0" applyFont="1" applyBorder="1" applyAlignment="1">
      <alignment horizontal="center" vertical="center" shrinkToFit="1"/>
    </xf>
    <xf numFmtId="0" fontId="26" fillId="0" borderId="95" xfId="0" applyFont="1" applyBorder="1" applyAlignment="1">
      <alignment horizontal="center" vertical="center" shrinkToFit="1"/>
    </xf>
    <xf numFmtId="0" fontId="39" fillId="0" borderId="96" xfId="0" applyFont="1" applyBorder="1" applyAlignment="1">
      <alignment horizontal="center" vertical="center" shrinkToFit="1"/>
    </xf>
    <xf numFmtId="0" fontId="39" fillId="0" borderId="94" xfId="0" applyFont="1" applyBorder="1" applyAlignment="1">
      <alignment horizontal="center" vertical="center" shrinkToFit="1"/>
    </xf>
    <xf numFmtId="0" fontId="39" fillId="0" borderId="94"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4"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4" fillId="9" borderId="8" xfId="0" applyFont="1" applyFill="1" applyBorder="1" applyAlignment="1">
      <alignment horizontal="center" vertical="center" shrinkToFit="1"/>
    </xf>
    <xf numFmtId="0" fontId="56" fillId="9" borderId="9" xfId="0" applyFont="1" applyFill="1" applyBorder="1" applyAlignment="1">
      <alignment horizontal="right" vertical="center"/>
    </xf>
    <xf numFmtId="0" fontId="56"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4" fillId="8" borderId="0" xfId="0" applyFont="1" applyFill="1" applyAlignment="1">
      <alignment vertical="center" shrinkToFit="1"/>
    </xf>
    <xf numFmtId="0" fontId="56" fillId="9" borderId="16" xfId="0" applyFont="1" applyFill="1" applyBorder="1" applyAlignment="1">
      <alignment horizontal="center" vertical="center"/>
    </xf>
    <xf numFmtId="0" fontId="58" fillId="9" borderId="18" xfId="0" applyFont="1" applyFill="1" applyBorder="1" applyAlignment="1">
      <alignment horizontal="center" vertical="center" wrapText="1"/>
    </xf>
    <xf numFmtId="0" fontId="62" fillId="8" borderId="16" xfId="0" applyFont="1" applyFill="1" applyBorder="1" applyAlignment="1">
      <alignment horizontal="left" vertical="center" shrinkToFit="1"/>
    </xf>
    <xf numFmtId="0" fontId="62" fillId="8" borderId="21" xfId="0" applyFont="1" applyFill="1" applyBorder="1" applyAlignment="1">
      <alignment horizontal="left" vertical="center" shrinkToFit="1"/>
    </xf>
    <xf numFmtId="0" fontId="62" fillId="8" borderId="22" xfId="0" applyFont="1" applyFill="1" applyBorder="1" applyAlignment="1">
      <alignment horizontal="left" vertical="center" shrinkToFit="1"/>
    </xf>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3" xfId="0" applyFont="1" applyFill="1" applyBorder="1" applyAlignment="1">
      <alignment vertical="center"/>
    </xf>
    <xf numFmtId="0" fontId="4" fillId="6" borderId="104" xfId="0" applyFont="1" applyFill="1" applyBorder="1" applyAlignment="1">
      <alignment vertical="center"/>
    </xf>
    <xf numFmtId="0" fontId="4" fillId="6" borderId="105" xfId="0" applyFont="1" applyFill="1" applyBorder="1" applyAlignment="1">
      <alignment vertical="center"/>
    </xf>
    <xf numFmtId="0" fontId="4" fillId="6" borderId="9" xfId="0" applyFont="1" applyFill="1" applyBorder="1" applyAlignment="1">
      <alignment vertical="center"/>
    </xf>
    <xf numFmtId="0" fontId="1" fillId="6" borderId="106" xfId="0" applyFont="1" applyFill="1" applyBorder="1" applyAlignment="1">
      <alignment horizontal="center" vertical="top"/>
    </xf>
    <xf numFmtId="0" fontId="4" fillId="6" borderId="101" xfId="0" applyFont="1" applyFill="1" applyBorder="1" applyAlignment="1">
      <alignment horizontal="center" vertical="center"/>
    </xf>
    <xf numFmtId="0" fontId="4" fillId="6" borderId="100"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8" fontId="19" fillId="9" borderId="19" xfId="0" applyNumberFormat="1" applyFont="1" applyFill="1" applyBorder="1" applyAlignment="1">
      <alignment horizontal="center" vertical="center"/>
    </xf>
    <xf numFmtId="178" fontId="4" fillId="8" borderId="0" xfId="0" applyNumberFormat="1" applyFont="1" applyFill="1" applyAlignment="1">
      <alignment horizontal="center"/>
    </xf>
    <xf numFmtId="178" fontId="4" fillId="8" borderId="19" xfId="0" applyNumberFormat="1" applyFont="1" applyFill="1" applyBorder="1" applyAlignment="1">
      <alignment horizontal="center"/>
    </xf>
    <xf numFmtId="178" fontId="0" fillId="0" borderId="0" xfId="0" applyNumberFormat="1"/>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4" fillId="6" borderId="6" xfId="0" applyFont="1" applyFill="1" applyBorder="1" applyAlignment="1">
      <alignment horizontal="center" vertical="center"/>
    </xf>
    <xf numFmtId="0" fontId="4" fillId="6" borderId="0" xfId="0" applyFont="1" applyFill="1" applyAlignment="1">
      <alignment horizontal="center" vertical="center"/>
    </xf>
    <xf numFmtId="0" fontId="1" fillId="6" borderId="0" xfId="0" applyFont="1" applyFill="1" applyAlignment="1">
      <alignment horizontal="center" vertical="top" wrapText="1"/>
    </xf>
    <xf numFmtId="0" fontId="65" fillId="8" borderId="0" xfId="0" applyFont="1" applyFill="1" applyAlignment="1">
      <alignment horizontal="left" vertical="center"/>
    </xf>
    <xf numFmtId="0" fontId="66"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0" fontId="4" fillId="8" borderId="8" xfId="0" applyNumberFormat="1" applyFont="1" applyFill="1" applyBorder="1"/>
    <xf numFmtId="170" fontId="4" fillId="8" borderId="12" xfId="0" applyNumberFormat="1" applyFont="1" applyFill="1" applyBorder="1"/>
    <xf numFmtId="0" fontId="4" fillId="8" borderId="14" xfId="0"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170"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07" xfId="0" applyFont="1" applyFill="1" applyBorder="1" applyAlignment="1">
      <alignment horizontal="center" vertical="center"/>
    </xf>
    <xf numFmtId="170" fontId="1" fillId="4" borderId="19" xfId="0" applyNumberFormat="1" applyFont="1" applyFill="1" applyBorder="1" applyAlignment="1">
      <alignment horizontal="center" vertical="center"/>
    </xf>
    <xf numFmtId="0" fontId="4" fillId="4" borderId="108" xfId="0" applyFont="1" applyFill="1" applyBorder="1" applyAlignment="1">
      <alignment horizontal="center" vertical="center"/>
    </xf>
    <xf numFmtId="179" fontId="20" fillId="8" borderId="0" xfId="0" applyNumberFormat="1" applyFont="1" applyFill="1" applyAlignment="1">
      <alignment horizontal="left" vertical="center"/>
    </xf>
    <xf numFmtId="179" fontId="0" fillId="8" borderId="0" xfId="0" applyNumberFormat="1" applyFill="1" applyAlignment="1">
      <alignment horizontal="left" vertical="center"/>
    </xf>
    <xf numFmtId="179" fontId="0" fillId="0" borderId="0" xfId="0" applyNumberFormat="1" applyAlignment="1">
      <alignment horizontal="left" vertical="center"/>
    </xf>
    <xf numFmtId="0" fontId="19" fillId="9" borderId="0" xfId="0" quotePrefix="1" applyFont="1" applyFill="1" applyAlignment="1">
      <alignment horizontal="left"/>
    </xf>
    <xf numFmtId="0" fontId="19" fillId="9" borderId="66"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0" fontId="18" fillId="9" borderId="66" xfId="0" applyNumberFormat="1" applyFont="1" applyFill="1" applyBorder="1" applyAlignment="1">
      <alignment horizontal="center" vertical="center"/>
    </xf>
    <xf numFmtId="174" fontId="24" fillId="8" borderId="14" xfId="0" applyNumberFormat="1" applyFont="1" applyFill="1" applyBorder="1" applyAlignment="1">
      <alignment horizontal="left" vertical="center"/>
    </xf>
    <xf numFmtId="180" fontId="18" fillId="9" borderId="14" xfId="0" applyNumberFormat="1" applyFont="1" applyFill="1" applyBorder="1" applyAlignment="1">
      <alignment horizontal="center" vertical="center"/>
    </xf>
    <xf numFmtId="0" fontId="30" fillId="9" borderId="0" xfId="0" applyFont="1" applyFill="1" applyAlignment="1">
      <alignment horizontal="left" vertical="center"/>
    </xf>
    <xf numFmtId="0" fontId="52" fillId="8" borderId="14" xfId="0" applyFont="1" applyFill="1" applyBorder="1" applyAlignment="1">
      <alignment vertical="center"/>
    </xf>
    <xf numFmtId="0" fontId="4" fillId="18" borderId="14" xfId="0" applyFont="1" applyFill="1" applyBorder="1" applyAlignment="1">
      <alignment horizontal="center" vertical="center"/>
    </xf>
    <xf numFmtId="0" fontId="4" fillId="11" borderId="14" xfId="0" applyFont="1" applyFill="1" applyBorder="1" applyAlignment="1">
      <alignment horizontal="center" vertical="center"/>
    </xf>
    <xf numFmtId="2" fontId="67" fillId="4" borderId="50" xfId="0" applyNumberFormat="1" applyFont="1" applyFill="1" applyBorder="1" applyAlignment="1">
      <alignment horizontal="left" vertical="center"/>
    </xf>
    <xf numFmtId="2" fontId="67" fillId="4" borderId="51" xfId="0" applyNumberFormat="1" applyFont="1" applyFill="1" applyBorder="1" applyAlignment="1">
      <alignment horizontal="left" vertical="center"/>
    </xf>
    <xf numFmtId="0" fontId="4" fillId="8" borderId="1" xfId="0" applyFont="1" applyFill="1" applyBorder="1" applyAlignment="1">
      <alignment horizontal="center"/>
    </xf>
    <xf numFmtId="40" fontId="18" fillId="9" borderId="109" xfId="0" applyNumberFormat="1" applyFont="1" applyFill="1" applyBorder="1" applyAlignment="1">
      <alignment horizontal="right" wrapText="1"/>
    </xf>
    <xf numFmtId="8" fontId="0" fillId="0" borderId="109" xfId="0" applyNumberFormat="1" applyBorder="1" applyAlignment="1">
      <alignment horizontal="right"/>
    </xf>
    <xf numFmtId="8" fontId="0" fillId="0" borderId="110" xfId="0" applyNumberFormat="1" applyBorder="1" applyAlignment="1">
      <alignment horizontal="right"/>
    </xf>
    <xf numFmtId="8" fontId="0" fillId="0" borderId="111" xfId="0" applyNumberFormat="1" applyBorder="1" applyAlignment="1">
      <alignment horizontal="right"/>
    </xf>
    <xf numFmtId="8" fontId="4" fillId="0" borderId="112" xfId="0" applyNumberFormat="1" applyFont="1" applyBorder="1" applyAlignment="1">
      <alignment horizontal="right"/>
    </xf>
    <xf numFmtId="8" fontId="0" fillId="0" borderId="113" xfId="0" applyNumberFormat="1" applyBorder="1" applyAlignment="1">
      <alignment horizontal="right"/>
    </xf>
    <xf numFmtId="8" fontId="4" fillId="0" borderId="110" xfId="0" applyNumberFormat="1" applyFont="1" applyBorder="1" applyAlignment="1">
      <alignment horizontal="right"/>
    </xf>
    <xf numFmtId="8" fontId="0" fillId="0" borderId="112" xfId="0" applyNumberFormat="1" applyBorder="1" applyAlignment="1">
      <alignment horizontal="right"/>
    </xf>
    <xf numFmtId="177" fontId="4" fillId="0" borderId="14" xfId="0" applyNumberFormat="1" applyFont="1" applyBorder="1" applyAlignment="1">
      <alignment horizontal="left" vertical="center"/>
    </xf>
    <xf numFmtId="1" fontId="4" fillId="0" borderId="14" xfId="0" applyNumberFormat="1" applyFont="1" applyBorder="1" applyAlignment="1">
      <alignment horizontal="center" vertical="center" shrinkToFit="1"/>
    </xf>
    <xf numFmtId="0" fontId="4" fillId="0" borderId="14" xfId="0" applyFont="1" applyBorder="1" applyAlignment="1">
      <alignment horizontal="center" vertical="center"/>
    </xf>
    <xf numFmtId="1" fontId="4" fillId="0" borderId="14" xfId="0" quotePrefix="1" applyNumberFormat="1" applyFont="1" applyBorder="1" applyAlignment="1">
      <alignment horizontal="center" vertical="center" shrinkToFit="1"/>
    </xf>
    <xf numFmtId="0" fontId="4" fillId="0" borderId="14" xfId="0" applyFont="1" applyBorder="1" applyAlignment="1">
      <alignment horizontal="center" vertical="center" wrapText="1"/>
    </xf>
    <xf numFmtId="171" fontId="5" fillId="0" borderId="14" xfId="0" applyNumberFormat="1" applyFont="1" applyBorder="1" applyAlignment="1">
      <alignment horizontal="right"/>
    </xf>
    <xf numFmtId="172" fontId="5" fillId="0" borderId="14" xfId="0" applyNumberFormat="1" applyFont="1" applyBorder="1" applyAlignment="1">
      <alignment horizontal="right"/>
    </xf>
    <xf numFmtId="49" fontId="56" fillId="9" borderId="0" xfId="0" quotePrefix="1" applyNumberFormat="1" applyFont="1" applyFill="1" applyAlignment="1">
      <alignment horizontal="left" vertical="center"/>
    </xf>
    <xf numFmtId="0" fontId="1" fillId="6" borderId="102" xfId="0" applyFont="1" applyFill="1" applyBorder="1" applyAlignment="1">
      <alignment horizontal="left"/>
    </xf>
    <xf numFmtId="0" fontId="57" fillId="9" borderId="0" xfId="0" applyFont="1" applyFill="1" applyAlignment="1">
      <alignment horizontal="center" vertical="center" textRotation="90"/>
    </xf>
    <xf numFmtId="0" fontId="54" fillId="0" borderId="14" xfId="0" applyFont="1" applyBorder="1" applyAlignment="1">
      <alignment horizontal="center" vertical="center" shrinkToFit="1"/>
    </xf>
    <xf numFmtId="0" fontId="54" fillId="0" borderId="67" xfId="0" applyFont="1" applyBorder="1" applyAlignment="1">
      <alignment horizontal="center" vertical="center" shrinkToFit="1"/>
    </xf>
    <xf numFmtId="0" fontId="54" fillId="0" borderId="68" xfId="0" applyFont="1" applyBorder="1" applyAlignment="1">
      <alignment horizontal="center" vertical="center" shrinkToFit="1"/>
    </xf>
    <xf numFmtId="0" fontId="54" fillId="0" borderId="14" xfId="0" quotePrefix="1" applyFont="1" applyBorder="1" applyAlignment="1">
      <alignment horizontal="center" vertical="center" shrinkToFit="1"/>
    </xf>
    <xf numFmtId="0" fontId="4" fillId="2" borderId="41" xfId="0" applyFont="1" applyFill="1" applyBorder="1" applyAlignment="1">
      <alignment horizontal="left" vertical="center"/>
    </xf>
    <xf numFmtId="2" fontId="4" fillId="0" borderId="11" xfId="0" applyNumberFormat="1" applyFont="1" applyBorder="1"/>
    <xf numFmtId="170" fontId="4" fillId="0" borderId="5" xfId="0" applyNumberFormat="1" applyFont="1" applyBorder="1"/>
    <xf numFmtId="180" fontId="18" fillId="9" borderId="114" xfId="0" applyNumberFormat="1" applyFont="1" applyFill="1" applyBorder="1" applyAlignment="1">
      <alignment horizontal="center" vertical="center"/>
    </xf>
    <xf numFmtId="16" fontId="24" fillId="8" borderId="114" xfId="0" applyNumberFormat="1" applyFont="1" applyFill="1" applyBorder="1" applyAlignment="1">
      <alignment horizontal="left" vertical="center"/>
    </xf>
    <xf numFmtId="16" fontId="24" fillId="8" borderId="14" xfId="0" applyNumberFormat="1" applyFont="1" applyFill="1" applyBorder="1" applyAlignment="1">
      <alignment horizontal="left" vertical="center"/>
    </xf>
    <xf numFmtId="0" fontId="4" fillId="0" borderId="11" xfId="0" applyFont="1" applyBorder="1"/>
    <xf numFmtId="170" fontId="4" fillId="8" borderId="5" xfId="0" applyNumberFormat="1" applyFont="1" applyFill="1" applyBorder="1"/>
    <xf numFmtId="0" fontId="4" fillId="8" borderId="14" xfId="0" applyFont="1" applyFill="1" applyBorder="1" applyAlignment="1">
      <alignment vertical="center"/>
    </xf>
    <xf numFmtId="0" fontId="18" fillId="9" borderId="114" xfId="0" applyFont="1" applyFill="1" applyBorder="1" applyAlignment="1">
      <alignment horizontal="center" vertical="center"/>
    </xf>
    <xf numFmtId="170" fontId="1" fillId="4" borderId="115" xfId="0" applyNumberFormat="1" applyFont="1" applyFill="1" applyBorder="1" applyAlignment="1">
      <alignment vertical="center"/>
    </xf>
    <xf numFmtId="2" fontId="4" fillId="4" borderId="116" xfId="0" applyNumberFormat="1" applyFont="1" applyFill="1" applyBorder="1" applyAlignment="1">
      <alignment vertical="center"/>
    </xf>
    <xf numFmtId="177" fontId="4" fillId="0" borderId="14" xfId="0" applyNumberFormat="1" applyFont="1" applyBorder="1" applyAlignment="1">
      <alignment horizontal="center" vertical="center"/>
    </xf>
    <xf numFmtId="0" fontId="25" fillId="11" borderId="14"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17" xfId="0" applyBorder="1"/>
    <xf numFmtId="0" fontId="0" fillId="0" borderId="117" xfId="0" applyBorder="1"/>
    <xf numFmtId="0" fontId="4" fillId="0" borderId="20" xfId="0" applyFont="1" applyBorder="1" applyAlignment="1">
      <alignment horizontal="left"/>
    </xf>
    <xf numFmtId="178" fontId="19" fillId="9" borderId="44" xfId="0" applyNumberFormat="1" applyFont="1" applyFill="1" applyBorder="1" applyAlignment="1">
      <alignment horizontal="center" vertical="top"/>
    </xf>
    <xf numFmtId="178" fontId="4" fillId="0" borderId="0" xfId="0" applyNumberFormat="1" applyFont="1" applyAlignment="1">
      <alignment horizontal="center"/>
    </xf>
    <xf numFmtId="0" fontId="65" fillId="19" borderId="0" xfId="0" applyFont="1" applyFill="1" applyAlignment="1">
      <alignment horizontal="left" vertical="center"/>
    </xf>
    <xf numFmtId="0" fontId="38" fillId="8" borderId="22" xfId="0" applyFont="1" applyFill="1" applyBorder="1" applyAlignment="1">
      <alignment horizontal="center" vertical="center" shrinkToFit="1"/>
    </xf>
    <xf numFmtId="3" fontId="1" fillId="0" borderId="10" xfId="0" applyNumberFormat="1" applyFont="1" applyBorder="1"/>
    <xf numFmtId="0" fontId="4" fillId="0" borderId="62" xfId="0" applyFont="1" applyBorder="1" applyAlignment="1">
      <alignment horizontal="left"/>
    </xf>
    <xf numFmtId="0" fontId="24" fillId="8" borderId="0" xfId="0" applyFont="1" applyFill="1" applyAlignment="1">
      <alignment horizontal="left"/>
    </xf>
    <xf numFmtId="16" fontId="38" fillId="8" borderId="21" xfId="0" quotePrefix="1" applyNumberFormat="1" applyFont="1" applyFill="1" applyBorder="1" applyAlignment="1">
      <alignment horizontal="center" vertical="center" shrinkToFit="1"/>
    </xf>
    <xf numFmtId="0" fontId="20" fillId="8" borderId="21" xfId="0" applyFont="1" applyFill="1" applyBorder="1" applyAlignment="1">
      <alignment horizontal="center" vertical="center" shrinkToFit="1"/>
    </xf>
    <xf numFmtId="0" fontId="4" fillId="8" borderId="10" xfId="0" applyFont="1" applyFill="1" applyBorder="1"/>
    <xf numFmtId="0" fontId="4" fillId="2" borderId="36" xfId="0" applyFont="1" applyFill="1" applyBorder="1" applyAlignment="1">
      <alignment horizontal="left" vertical="center"/>
    </xf>
    <xf numFmtId="0" fontId="24" fillId="11" borderId="0" xfId="0" applyFont="1" applyFill="1" applyAlignment="1">
      <alignment horizontal="center" vertical="center"/>
    </xf>
    <xf numFmtId="0" fontId="57" fillId="9" borderId="57" xfId="0" applyFont="1" applyFill="1" applyBorder="1" applyAlignment="1">
      <alignment horizontal="center" vertical="center" textRotation="90"/>
    </xf>
    <xf numFmtId="0" fontId="57" fillId="9" borderId="50" xfId="0" applyFont="1" applyFill="1" applyBorder="1" applyAlignment="1">
      <alignment horizontal="center" vertical="center" textRotation="90"/>
    </xf>
    <xf numFmtId="0" fontId="57" fillId="9" borderId="15" xfId="0" applyFont="1" applyFill="1" applyBorder="1" applyAlignment="1">
      <alignment horizontal="center" vertical="center" textRotation="90"/>
    </xf>
    <xf numFmtId="0" fontId="57" fillId="9" borderId="0" xfId="0" applyFont="1" applyFill="1" applyAlignment="1">
      <alignment horizontal="center" vertical="center" textRotation="90"/>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56" fillId="9" borderId="16" xfId="0" applyFont="1" applyFill="1" applyBorder="1" applyAlignment="1">
      <alignment horizontal="left" vertical="center"/>
    </xf>
    <xf numFmtId="0" fontId="56" fillId="9" borderId="21" xfId="0" applyFont="1" applyFill="1" applyBorder="1" applyAlignment="1">
      <alignment horizontal="left" vertical="center"/>
    </xf>
    <xf numFmtId="0" fontId="56" fillId="9" borderId="21" xfId="0" applyFont="1" applyFill="1" applyBorder="1" applyAlignment="1">
      <alignment horizontal="center" vertical="center"/>
    </xf>
    <xf numFmtId="0" fontId="58" fillId="9" borderId="3" xfId="0" applyFont="1" applyFill="1" applyBorder="1" applyAlignment="1">
      <alignment horizontal="center" vertical="center" textRotation="90"/>
    </xf>
    <xf numFmtId="0" fontId="58" fillId="9" borderId="4" xfId="0" applyFont="1" applyFill="1" applyBorder="1" applyAlignment="1">
      <alignment horizontal="center" vertical="center" textRotation="90"/>
    </xf>
    <xf numFmtId="0" fontId="58" fillId="9" borderId="5" xfId="0" applyFont="1" applyFill="1" applyBorder="1" applyAlignment="1">
      <alignment horizontal="center" vertical="center" textRotation="90"/>
    </xf>
    <xf numFmtId="0" fontId="56" fillId="9" borderId="22" xfId="0" applyFont="1" applyFill="1" applyBorder="1" applyAlignment="1">
      <alignment horizontal="left" vertical="center"/>
    </xf>
    <xf numFmtId="8" fontId="25" fillId="0" borderId="16" xfId="0" applyNumberFormat="1" applyFont="1" applyBorder="1" applyAlignment="1">
      <alignment horizontal="left" vertical="center"/>
    </xf>
    <xf numFmtId="8" fontId="25" fillId="0" borderId="97" xfId="0" applyNumberFormat="1" applyFont="1" applyBorder="1" applyAlignment="1">
      <alignment horizontal="left" vertical="center"/>
    </xf>
    <xf numFmtId="0" fontId="56" fillId="9" borderId="16" xfId="0" applyFont="1" applyFill="1" applyBorder="1" applyAlignment="1">
      <alignment horizontal="center" vertical="center"/>
    </xf>
    <xf numFmtId="0" fontId="25" fillId="8" borderId="16" xfId="0" quotePrefix="1" applyFont="1" applyFill="1" applyBorder="1" applyAlignment="1">
      <alignment horizontal="center" vertical="center" shrinkToFit="1"/>
    </xf>
    <xf numFmtId="0" fontId="25" fillId="8" borderId="21"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26" fillId="0" borderId="16" xfId="0" applyFont="1" applyBorder="1" applyAlignment="1">
      <alignment horizontal="left" vertical="center" shrinkToFit="1"/>
    </xf>
    <xf numFmtId="0" fontId="26" fillId="0" borderId="97"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7" xfId="0" applyNumberFormat="1" applyFont="1" applyBorder="1" applyAlignment="1">
      <alignment horizontal="left" vertical="center"/>
    </xf>
    <xf numFmtId="0" fontId="56" fillId="9" borderId="22" xfId="0" applyFont="1" applyFill="1" applyBorder="1" applyAlignment="1">
      <alignment horizontal="center" vertical="center"/>
    </xf>
    <xf numFmtId="0" fontId="18" fillId="9" borderId="88" xfId="0" applyFont="1" applyFill="1" applyBorder="1" applyAlignment="1">
      <alignment vertical="center"/>
    </xf>
    <xf numFmtId="0" fontId="18" fillId="9" borderId="89" xfId="0" applyFont="1" applyFill="1" applyBorder="1" applyAlignment="1">
      <alignment vertical="center"/>
    </xf>
    <xf numFmtId="0" fontId="62" fillId="8" borderId="16" xfId="0" quotePrefix="1" applyFont="1" applyFill="1" applyBorder="1" applyAlignment="1">
      <alignment horizontal="center" vertical="center" shrinkToFit="1"/>
    </xf>
    <xf numFmtId="0" fontId="62" fillId="8" borderId="22" xfId="0" applyFont="1" applyFill="1" applyBorder="1" applyAlignment="1">
      <alignment horizontal="center" vertical="center" shrinkToFit="1"/>
    </xf>
    <xf numFmtId="8" fontId="25" fillId="0" borderId="93" xfId="0" applyNumberFormat="1" applyFont="1" applyBorder="1" applyAlignment="1">
      <alignment horizontal="left" vertical="center"/>
    </xf>
    <xf numFmtId="8" fontId="25" fillId="0" borderId="99" xfId="0" applyNumberFormat="1" applyFont="1" applyBorder="1" applyAlignment="1">
      <alignment horizontal="left" vertical="center"/>
    </xf>
    <xf numFmtId="8" fontId="26" fillId="0" borderId="92" xfId="0" applyNumberFormat="1" applyFont="1" applyBorder="1" applyAlignment="1">
      <alignment horizontal="left" vertical="center"/>
    </xf>
    <xf numFmtId="8" fontId="26" fillId="0" borderId="98" xfId="0" applyNumberFormat="1" applyFont="1" applyBorder="1" applyAlignment="1">
      <alignment horizontal="left" vertical="center"/>
    </xf>
    <xf numFmtId="0" fontId="25" fillId="8" borderId="16" xfId="0" applyFont="1" applyFill="1" applyBorder="1" applyAlignment="1">
      <alignment horizontal="center" vertical="center" shrinkToFit="1"/>
    </xf>
    <xf numFmtId="0" fontId="68" fillId="9" borderId="1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6" fillId="9" borderId="16" xfId="0" quotePrefix="1" applyFont="1" applyFill="1" applyBorder="1" applyAlignment="1">
      <alignment horizontal="center" vertical="center" shrinkToFit="1"/>
    </xf>
    <xf numFmtId="0" fontId="56" fillId="9" borderId="22" xfId="0" quotePrefix="1" applyFont="1" applyFill="1" applyBorder="1" applyAlignment="1">
      <alignment horizontal="center" vertical="center" shrinkToFit="1"/>
    </xf>
    <xf numFmtId="0" fontId="56" fillId="9" borderId="0" xfId="0" applyFont="1" applyFill="1" applyAlignment="1">
      <alignment horizontal="right" vertical="center"/>
    </xf>
    <xf numFmtId="0" fontId="4" fillId="0" borderId="4" xfId="0" applyFont="1" applyBorder="1" applyAlignment="1">
      <alignment horizontal="left" vertical="center"/>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xf numFmtId="0" fontId="0" fillId="0" borderId="70" xfId="0" applyNumberFormat="1" applyBorder="1"/>
    <xf numFmtId="0" fontId="0" fillId="0" borderId="72" xfId="0" applyNumberFormat="1" applyBorder="1"/>
    <xf numFmtId="0" fontId="0" fillId="0" borderId="74" xfId="0" applyNumberFormat="1" applyBorder="1"/>
    <xf numFmtId="0" fontId="0" fillId="0" borderId="69" xfId="0" applyNumberFormat="1" applyBorder="1"/>
    <xf numFmtId="0" fontId="0" fillId="0" borderId="91" xfId="0" applyNumberFormat="1" applyBorder="1"/>
    <xf numFmtId="0" fontId="0" fillId="0" borderId="71" xfId="0" applyNumberFormat="1" applyBorder="1"/>
    <xf numFmtId="0" fontId="0" fillId="0" borderId="0" xfId="0" applyNumberFormat="1"/>
    <xf numFmtId="0" fontId="0" fillId="0" borderId="73" xfId="0" applyNumberFormat="1" applyBorder="1"/>
    <xf numFmtId="0" fontId="0" fillId="0" borderId="118" xfId="0" applyNumberFormat="1" applyBorder="1"/>
  </cellXfs>
  <cellStyles count="2">
    <cellStyle name="Hyperlink" xfId="1" builtinId="8"/>
    <cellStyle name="Normal" xfId="0" builtinId="0"/>
  </cellStyles>
  <dxfs count="209">
    <dxf>
      <fill>
        <patternFill>
          <bgColor rgb="FFFFFF00"/>
        </patternFill>
      </fill>
    </dxf>
    <dxf>
      <fill>
        <patternFill>
          <bgColor rgb="FF92D050"/>
        </patternFill>
      </fill>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rgb="FFFF0000"/>
      </font>
    </dxf>
    <dxf>
      <font>
        <color rgb="FFFF0000"/>
      </font>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102870</xdr:colOff>
      <xdr:row>0</xdr:row>
      <xdr:rowOff>137583</xdr:rowOff>
    </xdr:from>
    <xdr:to>
      <xdr:col>18</xdr:col>
      <xdr:colOff>621648</xdr:colOff>
      <xdr:row>0</xdr:row>
      <xdr:rowOff>402167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0834370" y="1375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549015" y="304800"/>
          <a:ext cx="1586443"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Bets, ie if 90 players:  Bets!$I$1:$M$271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7</xdr:col>
      <xdr:colOff>65723</xdr:colOff>
      <xdr:row>0</xdr:row>
      <xdr:rowOff>790575</xdr:rowOff>
    </xdr:from>
    <xdr:to>
      <xdr:col>7</xdr:col>
      <xdr:colOff>577794</xdr:colOff>
      <xdr:row>0</xdr:row>
      <xdr:rowOff>988695</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109211" y="790575"/>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104775</xdr:colOff>
      <xdr:row>0</xdr:row>
      <xdr:rowOff>752476</xdr:rowOff>
    </xdr:from>
    <xdr:to>
      <xdr:col>9</xdr:col>
      <xdr:colOff>707334</xdr:colOff>
      <xdr:row>0</xdr:row>
      <xdr:rowOff>1104902</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862888" y="752476"/>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128587</xdr:colOff>
      <xdr:row>0</xdr:row>
      <xdr:rowOff>762000</xdr:rowOff>
    </xdr:from>
    <xdr:to>
      <xdr:col>10</xdr:col>
      <xdr:colOff>731146</xdr:colOff>
      <xdr:row>0</xdr:row>
      <xdr:rowOff>1114426</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724900" y="762000"/>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195792</xdr:colOff>
      <xdr:row>0</xdr:row>
      <xdr:rowOff>137583</xdr:rowOff>
    </xdr:from>
    <xdr:to>
      <xdr:col>5</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814917</xdr:colOff>
      <xdr:row>0</xdr:row>
      <xdr:rowOff>142875</xdr:rowOff>
    </xdr:from>
    <xdr:to>
      <xdr:col>5</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1476375</xdr:colOff>
      <xdr:row>0</xdr:row>
      <xdr:rowOff>142875</xdr:rowOff>
    </xdr:from>
    <xdr:to>
      <xdr:col>5</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143.788564930554" createdVersion="6" refreshedVersion="8" minRefreshableVersion="3" recordCount="97" xr:uid="{9A9CE513-00D2-49F6-B4D3-B6CAFCD08CEA}">
  <cacheSource type="worksheet">
    <worksheetSource ref="A1:E98" sheet="Players"/>
  </cacheSource>
  <cacheFields count="5">
    <cacheField name="Prev/Final_x000a_Pos" numFmtId="173">
      <sharedItems containsNonDate="0" containsString="0" containsBlank="1"/>
    </cacheField>
    <cacheField name="Prev/Final_x000a_Div" numFmtId="0">
      <sharedItems containsNonDate="0" containsString="0" containsBlank="1"/>
    </cacheField>
    <cacheField name="Players" numFmtId="0">
      <sharedItems containsBlank="1"/>
    </cacheField>
    <cacheField name="Div" numFmtId="170">
      <sharedItems containsBlank="1" count="6">
        <s v="A"/>
        <s v="B"/>
        <s v="X"/>
        <s v="C"/>
        <s v="D"/>
        <m/>
      </sharedItems>
    </cacheField>
    <cacheField name="Closing _x000a_Balance" numFmtId="17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384.668512384262" createdVersion="8" refreshedVersion="8" minRefreshableVersion="3" recordCount="50" xr:uid="{31A31B8F-EE25-413E-B849-91AE108870F9}">
  <cacheSource type="worksheet">
    <worksheetSource ref="A1:P51" sheet="Table"/>
  </cacheSource>
  <cacheFields count="16">
    <cacheField name="PL43/Week 15" numFmtId="0">
      <sharedItems containsBlank="1"/>
    </cacheField>
    <cacheField name="Place Prize" numFmtId="0">
      <sharedItems/>
    </cacheField>
    <cacheField name="Promotion/_x000a_Relegation" numFmtId="0">
      <sharedItems/>
    </cacheField>
    <cacheField name="Pos" numFmtId="0">
      <sharedItems containsSemiMixedTypes="0" containsString="0" containsNumber="1" containsInteger="1" minValue="1" maxValue="18"/>
    </cacheField>
    <cacheField name="Div" numFmtId="0">
      <sharedItems/>
    </cacheField>
    <cacheField name="Player" numFmtId="0">
      <sharedItems/>
    </cacheField>
    <cacheField name="↓" numFmtId="0">
      <sharedItems containsNonDate="0" containsString="0" containsBlank="1"/>
    </cacheField>
    <cacheField name="New_x000a_Div" numFmtId="0">
      <sharedItems/>
    </cacheField>
    <cacheField name="Total_x000a_Score" numFmtId="170">
      <sharedItems containsSemiMixedTypes="0" containsString="0" containsNumber="1" minValue="-105" maxValue="86.336166666666685"/>
    </cacheField>
    <cacheField name="Total_x000a_correct" numFmtId="1">
      <sharedItems containsSemiMixedTypes="0" containsString="0" containsNumber="1" containsInteger="1" minValue="0" maxValue="27"/>
    </cacheField>
    <cacheField name="Week_x000a_Score" numFmtId="170">
      <sharedItems containsSemiMixedTypes="0" containsString="0" containsNumber="1" minValue="-7" maxValue="62.2"/>
    </cacheField>
    <cacheField name="Week_x000a_Correct" numFmtId="1">
      <sharedItems containsSemiMixedTypes="0" containsString="0" containsNumber="1" containsInteger="1" minValue="0" maxValue="3" count="4">
        <n v="0"/>
        <n v="3"/>
        <n v="1"/>
        <n v="2"/>
      </sharedItems>
    </cacheField>
    <cacheField name="League_x000a_Place_x000a_Prize" numFmtId="8">
      <sharedItems containsSemiMixedTypes="0" containsString="0" containsNumber="1" minValue="0" maxValue="61.25"/>
    </cacheField>
    <cacheField name="Weekly_x000a_Prizes" numFmtId="8">
      <sharedItems containsSemiMixedTypes="0" containsString="0" containsNumber="1" containsInteger="1" minValue="0" maxValue="35"/>
    </cacheField>
    <cacheField name="Cup_x000a_Prize" numFmtId="8">
      <sharedItems containsSemiMixedTypes="0" containsString="0" containsNumber="1" containsInteger="1" minValue="0" maxValue="0"/>
    </cacheField>
    <cacheField name="Total_x000a_Prize" numFmtId="8">
      <sharedItems containsSemiMixedTypes="0" containsString="0" containsNumber="1" minValue="0" maxValue="96.2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384.669437615739" createdVersion="8" refreshedVersion="8" minRefreshableVersion="3" recordCount="150" xr:uid="{97D78DF9-AA0F-4121-AB3D-04C8FB639924}">
  <cacheSource type="worksheet">
    <worksheetSource ref="J1:N151" sheet="Picks"/>
  </cacheSource>
  <cacheFields count="5">
    <cacheField name="Wk1" numFmtId="0">
      <sharedItems containsBlank="1" count="214">
        <s v="Shrewsbury draw"/>
        <s v="Accrington draw"/>
        <s v="Swindon draw"/>
        <s v="Exeter draw"/>
        <s v="Tranmere"/>
        <s v="Mansfield"/>
        <s v="Man C"/>
        <s v="Bournemouth"/>
        <s v="Forest"/>
        <s v="Everton"/>
        <s v="Chelsea"/>
        <s v="Luton"/>
        <s v="Leicester"/>
        <s v="Leeds"/>
        <s v="Fulham"/>
        <s v="Stockport"/>
        <s v="Huddersfield Draw"/>
        <s v="Peterborough"/>
        <s v="Man U"/>
        <s v="Newcastle"/>
        <s v="Norwich"/>
        <s v="West Ham"/>
        <s v="Arsenal"/>
        <m/>
        <s v="Newport"/>
        <s v="Portsmouth"/>
        <s v="Oxford"/>
        <s v="Hull"/>
        <s v="QPR"/>
        <s v="Wigan"/>
        <s v="Coventry"/>
        <s v="Preston"/>
        <s v="Burnley"/>
        <s v="Palace"/>
        <s v="Brighton"/>
        <s v="Fleetwood"/>
        <s v="Forest draw"/>
        <s v="Man C draw"/>
        <s v="Millwall draw"/>
        <s v="Southampton draw"/>
        <s v="Brentford"/>
        <s v="Lincoln"/>
        <s v="Barrow"/>
        <s v="Salford"/>
        <s v="MK Dons"/>
        <s v="Barnsley"/>
        <s v="Cardiff"/>
        <s v="Wrexham"/>
        <s v="Spurs"/>
        <s v="Accrington"/>
        <s v="Bradford"/>
        <s v="Blackburn"/>
        <s v="Villa draw"/>
        <s v="Reading"/>
        <s v="Villa"/>
        <s v="Newcastle draw"/>
        <s v="Bournemouth draw"/>
        <s v="Ipswich"/>
        <s v="Bradford draw"/>
        <s v="Derby"/>
        <s v="Barrow draw" u="1"/>
        <s v="Harrogate draw" u="1"/>
        <s v="Aldershot draw" u="1"/>
        <s v="Altrincham draw" u="1"/>
        <s v="Halifax" u="1"/>
        <s v="Wealdstone" u="1"/>
        <s v="Belgium" u="1"/>
        <s v="France" u="1"/>
        <s v="Denmark draw" u="1"/>
        <s v="Scotland" u="1"/>
        <s v="Turkey" u="1"/>
        <s v="Ukraine" u="1"/>
        <s v="Switzerland" u="1"/>
        <s v="Germany" u="1"/>
        <s v="Morecambe Draw" u="1"/>
        <s v="Notts Co" u="1"/>
        <s v="Hungary" u="1"/>
        <s v="Denmark" u="1"/>
        <s v="England" u="1"/>
        <s v="England draw" u="1"/>
        <s v="Oldham" u="1"/>
        <s v="Solihull" u="1"/>
        <s v="Sutton draw" u="1"/>
        <s v="Crewe" u="1"/>
        <s v="Wales" u="1"/>
        <s v="Georgia" u="1"/>
        <s v="Chesterfield" u="1"/>
        <s v="Israel" u="1"/>
        <s v="Cyprus" u="1"/>
        <s v="Crawley" u="1"/>
        <s v="Grimsby" u="1"/>
        <s v="Sweden" u="1"/>
        <s v="Estonia" u="1"/>
        <s v="Stevenage" u="1"/>
        <s v="Bromley" u="1"/>
        <s v="Port Vale" u="1"/>
        <s v="Wimbledon" u="1"/>
        <s v="Harrogate" u="1"/>
        <s v="Doncaster" u="1"/>
        <s v="Crewe draw" u="1"/>
        <s v="Rochdale" u="1"/>
        <s v="Romania" u="1"/>
        <s v="Bosnia draw" u="1"/>
        <s v="Greece" u="1"/>
        <s v="Southend" u="1"/>
        <s v="France draw" u="1"/>
        <s v="Ireland draw" u="1"/>
        <s v="Norway" u="1"/>
        <s v="Burton draw" u="1"/>
        <s v="Netherlands" u="1"/>
        <s v="Notts Co Draw" u="1"/>
        <s v="Rochdale Draw" u="1"/>
        <s v="AFC Fylde" u="1"/>
        <s v="Sunderland" u="1"/>
        <s v="West Brom" u="1"/>
        <s v="Colchester draw" u="1"/>
        <s v="Shrewsbury" u="1"/>
        <s v="Watford" u="1"/>
        <s v="Blackpool" u="1"/>
        <s v="Fleetwood Draw" u="1"/>
        <s v="Wigan Draw" u="1"/>
        <s v="Plymouth" u="1"/>
        <s v="Huddersfield" u="1"/>
        <s v="Sunderland draw" u="1"/>
        <s v="Salford draw" u="1"/>
        <s v="Bolton" u="1"/>
        <s v="Forest Green" u="1"/>
        <s v="Swindon" u="1"/>
        <s v="Swansea" u="1"/>
        <s v="Exeter" u="1"/>
        <s v="Millwall" u="1"/>
        <s v="Liverpool" u="1"/>
        <s v="Plymouth draw" u="1"/>
        <s v="Derby draw" u="1"/>
        <s v="West Ham draw" u="1"/>
        <s v="Gillingham draw" u="1"/>
        <s v="Walsall" u="1"/>
        <s v="Morecambe" u="1"/>
        <s v="Wolves" u="1"/>
        <s v="Ipswich draw" u="1"/>
        <s v="Stoke draw" u="1"/>
        <s v="Swansea draw" u="1"/>
        <s v="Rotherham draw" u="1"/>
        <s v="Rotherham" u="1"/>
        <s v="Wycombe" u="1"/>
        <s v="Middlesbro" u="1"/>
        <s v="Fulham draw" u="1"/>
        <s v="Luton draw" u="1"/>
        <s v="Birmingham draw" u="1"/>
        <s v="Burton" u="1"/>
        <s v="Burnley draw" u="1"/>
        <s v="Charlton" u="1"/>
        <s v="Sheff W" u="1"/>
        <s v="Wrexham draw" u="1"/>
        <s v="Reading draw" u="1"/>
        <s v="Watford draw" u="1"/>
        <s v="Blackpool Draw" u="1"/>
        <s v="Southampton" u="1"/>
        <s v="Palace draw" u="1"/>
        <s v="Gillingham" u="1"/>
        <s v="Lincoln draw" u="1"/>
        <s v="Northampton" u="1"/>
        <s v="Brentford draw" u="1"/>
        <s v="Carlisle draw" u="1"/>
        <s v="Newport draw" u="1"/>
        <s v="Cheltenham" u="1"/>
        <s v="Sutton" u="1"/>
        <s v="Orient" u="1"/>
        <s v="Wimbledon draw" u="1"/>
        <s v="Stoke" u="1"/>
        <s v="Arsenal draw" u="1"/>
        <s v="Brighton draw" u="1"/>
        <s v="Chelsea draw" u="1"/>
        <s v="Sheff W Draw" u="1"/>
        <s v="Doncaster Draw" u="1"/>
        <s v="Bristol C" u="1"/>
        <s v="Hull draw" u="1"/>
        <s v="Colchester" u="1"/>
        <s v="Birmingham" u="1"/>
        <s v="Cambridge draw" u="1"/>
        <s v="Port Vale Draw" u="1"/>
        <s v="Forest Green Draw" u="1"/>
        <s v="Peterborough draw" u="1"/>
        <s v="Sheff U Draw" u="1"/>
        <s v="Spurs draw" u="1"/>
        <s v="Grimsby draw" u="1"/>
        <s v="Cambridge" u="1"/>
        <s v="Wycombe draw" u="1"/>
        <s v="Sheff U" u="1"/>
        <s v="Preston draw" u="1"/>
        <s v="Portsmouth draw" u="1"/>
        <s v="Mansfield draw" u="1"/>
        <s v="Cheltenham Draw" u="1"/>
        <s v="Crawley draw" u="1"/>
        <s v="Bristol R" u="1"/>
        <s v="Man U draw" u="1"/>
        <s v="Norwich draw" u="1"/>
        <s v="Bolton draw" u="1"/>
        <s v="Tranmere draw" u="1"/>
        <s v="Oxford draw" u="1"/>
        <s v="Orient Draw" u="1"/>
        <s v="Stevenage Draw" u="1"/>
        <s v="Everton draw" u="1"/>
        <s v="West Brom draw" u="1"/>
        <s v="Bristol R draw" u="1"/>
        <s v="QPR Draw" u="1"/>
        <s v="Carlisle" u="1"/>
        <s v="Bristol C draw" u="1"/>
        <s v="Blackburn draw" u="1"/>
        <s v="Charlton draw" u="1"/>
        <s v="Cardiff draw" u="1"/>
        <s v="Middlesbro draw" u="1"/>
        <s v="Coventry draw" u="1"/>
        <s v="Maidstone" u="1"/>
      </sharedItems>
    </cacheField>
    <cacheField name="Frac" numFmtId="0">
      <sharedItems/>
    </cacheField>
    <cacheField name="Dec" numFmtId="175">
      <sharedItems containsMixedTypes="1" containsNumber="1" minValue="1.2222222222222223" maxValue="10"/>
    </cacheField>
    <cacheField name="Bet up " numFmtId="0">
      <sharedItems containsMixedTypes="1" containsNumber="1" containsInteger="1" minValue="0" maxValue="1" count="3">
        <n v="1"/>
        <n v="0"/>
        <e v="#N/A"/>
      </sharedItems>
    </cacheField>
    <cacheField name="Points" numFmtId="2">
      <sharedItems containsMixedTypes="1" containsNumber="1" minValue="0" maxValue="4.2"/>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m/>
    <m/>
    <s v="Pete Baron"/>
    <x v="0"/>
    <m/>
  </r>
  <r>
    <m/>
    <m/>
    <s v="Graham Miller"/>
    <x v="0"/>
    <m/>
  </r>
  <r>
    <m/>
    <m/>
    <s v="Dan Gibbard"/>
    <x v="0"/>
    <m/>
  </r>
  <r>
    <m/>
    <m/>
    <s v="Mike Penk"/>
    <x v="0"/>
    <m/>
  </r>
  <r>
    <m/>
    <m/>
    <s v="Jack Walsh"/>
    <x v="0"/>
    <m/>
  </r>
  <r>
    <m/>
    <m/>
    <s v="Martin Molyneux"/>
    <x v="0"/>
    <m/>
  </r>
  <r>
    <m/>
    <m/>
    <s v="Lennie Bow"/>
    <x v="0"/>
    <m/>
  </r>
  <r>
    <m/>
    <m/>
    <s v="Andy White"/>
    <x v="0"/>
    <m/>
  </r>
  <r>
    <m/>
    <m/>
    <s v="Mo Sudell"/>
    <x v="0"/>
    <m/>
  </r>
  <r>
    <m/>
    <m/>
    <s v="Barry Birchall"/>
    <x v="0"/>
    <m/>
  </r>
  <r>
    <m/>
    <m/>
    <s v="John Ronan"/>
    <x v="1"/>
    <m/>
  </r>
  <r>
    <m/>
    <m/>
    <s v="Kevin Carter"/>
    <x v="1"/>
    <m/>
  </r>
  <r>
    <m/>
    <m/>
    <s v="Paul Fairhurst"/>
    <x v="1"/>
    <m/>
  </r>
  <r>
    <m/>
    <m/>
    <s v="Ashley Houghton"/>
    <x v="1"/>
    <m/>
  </r>
  <r>
    <m/>
    <m/>
    <s v="Paul Fiddler"/>
    <x v="2"/>
    <m/>
  </r>
  <r>
    <m/>
    <m/>
    <s v="David Dunn"/>
    <x v="1"/>
    <m/>
  </r>
  <r>
    <m/>
    <m/>
    <s v="Alan Bond"/>
    <x v="0"/>
    <m/>
  </r>
  <r>
    <m/>
    <m/>
    <s v="Gerard Ventom"/>
    <x v="0"/>
    <m/>
  </r>
  <r>
    <m/>
    <m/>
    <s v="Chris Luck"/>
    <x v="0"/>
    <m/>
  </r>
  <r>
    <m/>
    <m/>
    <s v="Howard Bradley"/>
    <x v="0"/>
    <m/>
  </r>
  <r>
    <m/>
    <m/>
    <s v="Chris Griffin"/>
    <x v="0"/>
    <m/>
  </r>
  <r>
    <m/>
    <m/>
    <s v="Steve Carter"/>
    <x v="0"/>
    <m/>
  </r>
  <r>
    <m/>
    <m/>
    <s v="Dave Orrell"/>
    <x v="1"/>
    <m/>
  </r>
  <r>
    <m/>
    <m/>
    <s v="Nigel Heyes"/>
    <x v="1"/>
    <m/>
  </r>
  <r>
    <m/>
    <m/>
    <s v="Paul Allen"/>
    <x v="1"/>
    <m/>
  </r>
  <r>
    <m/>
    <m/>
    <s v="Rob England"/>
    <x v="3"/>
    <m/>
  </r>
  <r>
    <m/>
    <m/>
    <s v="Mark Bunn"/>
    <x v="3"/>
    <m/>
  </r>
  <r>
    <m/>
    <m/>
    <s v="Tom Robinson"/>
    <x v="3"/>
    <m/>
  </r>
  <r>
    <m/>
    <m/>
    <s v="Mal Stott"/>
    <x v="3"/>
    <m/>
  </r>
  <r>
    <m/>
    <m/>
    <s v="Nick Blocksidge"/>
    <x v="3"/>
    <m/>
  </r>
  <r>
    <m/>
    <m/>
    <s v="Kei Lok Ma"/>
    <x v="3"/>
    <m/>
  </r>
  <r>
    <m/>
    <m/>
    <s v="Dave Bell"/>
    <x v="3"/>
    <m/>
  </r>
  <r>
    <m/>
    <m/>
    <s v="Mark Saunders"/>
    <x v="1"/>
    <m/>
  </r>
  <r>
    <m/>
    <m/>
    <s v="Vinny Topping"/>
    <x v="1"/>
    <m/>
  </r>
  <r>
    <m/>
    <m/>
    <s v="Sally Williams"/>
    <x v="1"/>
    <m/>
  </r>
  <r>
    <m/>
    <m/>
    <s v="Martin Tarbuck"/>
    <x v="1"/>
    <m/>
  </r>
  <r>
    <m/>
    <m/>
    <s v="Stephen Barr"/>
    <x v="1"/>
    <m/>
  </r>
  <r>
    <m/>
    <m/>
    <s v="Chris Townsend"/>
    <x v="1"/>
    <m/>
  </r>
  <r>
    <m/>
    <m/>
    <s v="Charlie Griffiths"/>
    <x v="1"/>
    <m/>
  </r>
  <r>
    <m/>
    <m/>
    <s v="Andy Charleston"/>
    <x v="1"/>
    <m/>
  </r>
  <r>
    <m/>
    <m/>
    <s v="Phil Miller"/>
    <x v="3"/>
    <m/>
  </r>
  <r>
    <m/>
    <m/>
    <s v="Chris Bow"/>
    <x v="3"/>
    <m/>
  </r>
  <r>
    <m/>
    <m/>
    <s v="Julie Dodd"/>
    <x v="4"/>
    <m/>
  </r>
  <r>
    <m/>
    <m/>
    <s v="Alick Rocca"/>
    <x v="4"/>
    <m/>
  </r>
  <r>
    <m/>
    <m/>
    <s v="John Murphy"/>
    <x v="4"/>
    <m/>
  </r>
  <r>
    <m/>
    <m/>
    <s v="Gareth McGuire"/>
    <x v="2"/>
    <m/>
  </r>
  <r>
    <m/>
    <m/>
    <s v="Bob Bailey"/>
    <x v="4"/>
    <m/>
  </r>
  <r>
    <m/>
    <m/>
    <s v="Gareth Powell"/>
    <x v="4"/>
    <m/>
  </r>
  <r>
    <m/>
    <m/>
    <s v="Ian Davies"/>
    <x v="3"/>
    <m/>
  </r>
  <r>
    <m/>
    <m/>
    <s v="Alan Rogers"/>
    <x v="3"/>
    <m/>
  </r>
  <r>
    <m/>
    <m/>
    <s v="Frank Allen"/>
    <x v="3"/>
    <m/>
  </r>
  <r>
    <m/>
    <m/>
    <s v="Alex Griffin"/>
    <x v="3"/>
    <m/>
  </r>
  <r>
    <m/>
    <m/>
    <s v="Alan White"/>
    <x v="3"/>
    <m/>
  </r>
  <r>
    <m/>
    <m/>
    <s v="Alfie Davies"/>
    <x v="3"/>
    <m/>
  </r>
  <r>
    <m/>
    <m/>
    <s v="Ben Rosser"/>
    <x v="3"/>
    <m/>
  </r>
  <r>
    <m/>
    <m/>
    <s v="Simon Greenhalgh"/>
    <x v="4"/>
    <m/>
  </r>
  <r>
    <m/>
    <m/>
    <s v="Paul Adderley"/>
    <x v="4"/>
    <m/>
  </r>
  <r>
    <m/>
    <m/>
    <s v="Paul Barnes"/>
    <x v="4"/>
    <m/>
  </r>
  <r>
    <m/>
    <m/>
    <s v="Paul England"/>
    <x v="4"/>
    <m/>
  </r>
  <r>
    <m/>
    <m/>
    <s v="James Bell"/>
    <x v="2"/>
    <m/>
  </r>
  <r>
    <m/>
    <m/>
    <s v="Liam Wah"/>
    <x v="4"/>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s v="Division A"/>
    <s v="A1"/>
    <s v="↔"/>
    <n v="1"/>
    <s v="A"/>
    <s v="Chris Townsend"/>
    <m/>
    <s v="A"/>
    <n v="86.336166666666685"/>
    <n v="13"/>
    <n v="-7"/>
    <x v="0"/>
    <n v="61.25"/>
    <n v="35"/>
    <n v="0"/>
    <n v="96.25"/>
  </r>
  <r>
    <m/>
    <s v="A2"/>
    <s v="↔"/>
    <n v="2"/>
    <s v="A"/>
    <s v="Gerard Ventom"/>
    <m/>
    <s v="A"/>
    <n v="73.850000000000009"/>
    <n v="19"/>
    <n v="62.2"/>
    <x v="1"/>
    <n v="43.75"/>
    <n v="20"/>
    <n v="0"/>
    <n v="63.75"/>
  </r>
  <r>
    <m/>
    <s v="A3"/>
    <s v="↔"/>
    <n v="3"/>
    <s v="A"/>
    <s v="Nigel Heyes"/>
    <m/>
    <s v="A"/>
    <n v="40.49526223776224"/>
    <n v="21"/>
    <n v="-5.05"/>
    <x v="2"/>
    <n v="31.5"/>
    <n v="15"/>
    <n v="0"/>
    <n v="46.5"/>
  </r>
  <r>
    <m/>
    <s v="A4"/>
    <s v="↔"/>
    <n v="4"/>
    <s v="A"/>
    <s v="Rob England"/>
    <m/>
    <s v="A"/>
    <n v="1.9268205128205116"/>
    <n v="25"/>
    <n v="-0.84500000000000064"/>
    <x v="3"/>
    <n v="21"/>
    <n v="10"/>
    <n v="0"/>
    <n v="31"/>
  </r>
  <r>
    <m/>
    <s v="A5"/>
    <s v="↔"/>
    <n v="5"/>
    <s v="A"/>
    <s v="Steve Carter"/>
    <m/>
    <s v="A"/>
    <n v="0.59698863636364496"/>
    <n v="22"/>
    <n v="0.83500000000000085"/>
    <x v="3"/>
    <n v="12.25"/>
    <n v="5"/>
    <n v="0"/>
    <n v="17.25"/>
  </r>
  <r>
    <m/>
    <s v="A6"/>
    <s v="↔"/>
    <n v="6"/>
    <s v="A"/>
    <s v="Mark Saunders"/>
    <m/>
    <s v="A"/>
    <n v="-11.575036075036074"/>
    <n v="19"/>
    <n v="-4.7"/>
    <x v="2"/>
    <n v="5.25"/>
    <n v="20"/>
    <n v="0"/>
    <n v="25.25"/>
  </r>
  <r>
    <m/>
    <s v="A7"/>
    <s v="↔"/>
    <n v="7"/>
    <s v="A"/>
    <s v="Jack Walsh"/>
    <m/>
    <s v="A"/>
    <n v="-27.178156565656561"/>
    <n v="20"/>
    <n v="-0.52666666666666728"/>
    <x v="3"/>
    <n v="0"/>
    <n v="5"/>
    <n v="0"/>
    <n v="5"/>
  </r>
  <r>
    <m/>
    <s v="A8"/>
    <s v="↔"/>
    <n v="8"/>
    <s v="A"/>
    <s v="Martin Molyneux"/>
    <m/>
    <s v="A"/>
    <n v="-28.426616161616163"/>
    <n v="23"/>
    <n v="10.683333333333334"/>
    <x v="1"/>
    <n v="0"/>
    <n v="0"/>
    <n v="0"/>
    <n v="0"/>
  </r>
  <r>
    <m/>
    <s v="A9"/>
    <s v="Play-off"/>
    <n v="9"/>
    <s v="A"/>
    <s v="Stephen Barr"/>
    <m/>
    <s v="A"/>
    <n v="-31.952575757575758"/>
    <n v="17"/>
    <n v="1.6187500000000004"/>
    <x v="3"/>
    <n v="0"/>
    <n v="0"/>
    <n v="0"/>
    <n v="0"/>
  </r>
  <r>
    <m/>
    <s v="A10"/>
    <s v="Play-off"/>
    <n v="10"/>
    <s v="A"/>
    <s v="Lennie Bow"/>
    <m/>
    <s v="A"/>
    <n v="-35.295038850038857"/>
    <n v="23"/>
    <n v="-5.5"/>
    <x v="2"/>
    <n v="0"/>
    <n v="0"/>
    <n v="0"/>
    <n v="0"/>
  </r>
  <r>
    <m/>
    <s v="A11"/>
    <s v="↓"/>
    <n v="11"/>
    <s v="A"/>
    <s v="Mo Sudell"/>
    <m/>
    <s v="A"/>
    <n v="-41.493300865800869"/>
    <n v="21"/>
    <n v="-5.4666666666666668"/>
    <x v="2"/>
    <n v="0"/>
    <n v="0"/>
    <n v="0"/>
    <n v="0"/>
  </r>
  <r>
    <m/>
    <s v="A12"/>
    <s v="↓"/>
    <n v="12"/>
    <s v="A"/>
    <s v="Mark Bunn"/>
    <m/>
    <s v="A"/>
    <n v="-44.275576923076926"/>
    <n v="15"/>
    <n v="-4.625"/>
    <x v="2"/>
    <n v="0"/>
    <n v="5"/>
    <n v="0"/>
    <n v="5"/>
  </r>
  <r>
    <m/>
    <s v="A13"/>
    <s v="↓"/>
    <n v="13"/>
    <s v="A"/>
    <s v="Howard Bradley"/>
    <m/>
    <s v="A"/>
    <n v="-49.135627705627698"/>
    <n v="18"/>
    <n v="-5"/>
    <x v="2"/>
    <n v="0"/>
    <n v="0"/>
    <n v="0"/>
    <n v="0"/>
  </r>
  <r>
    <m/>
    <s v="A14"/>
    <s v="↓"/>
    <n v="14"/>
    <s v="A"/>
    <s v="Mike Penk"/>
    <m/>
    <s v="A"/>
    <n v="-52.295546536796536"/>
    <n v="16"/>
    <n v="2.125"/>
    <x v="3"/>
    <n v="0"/>
    <n v="0"/>
    <n v="0"/>
    <n v="0"/>
  </r>
  <r>
    <m/>
    <s v="A15"/>
    <s v="↓"/>
    <n v="15"/>
    <s v="A"/>
    <s v="Dave Orrell"/>
    <m/>
    <s v="A"/>
    <n v="-68.643787878787876"/>
    <n v="12"/>
    <n v="-7"/>
    <x v="0"/>
    <n v="0"/>
    <n v="0"/>
    <n v="0"/>
    <n v="0"/>
  </r>
  <r>
    <m/>
    <s v="A16"/>
    <s v="↓"/>
    <n v="16"/>
    <s v="A"/>
    <s v="Paul Fairhurst"/>
    <m/>
    <s v="A"/>
    <n v="-80.05"/>
    <n v="5"/>
    <n v="-7"/>
    <x v="0"/>
    <n v="0"/>
    <n v="0"/>
    <n v="0"/>
    <n v="0"/>
  </r>
  <r>
    <s v="Division B"/>
    <s v="B1"/>
    <s v="↑"/>
    <n v="1"/>
    <s v="B"/>
    <s v="Alick Rocca"/>
    <m/>
    <s v="B"/>
    <n v="53.166000000000004"/>
    <n v="16"/>
    <n v="-5.35"/>
    <x v="2"/>
    <n v="42.874999999999993"/>
    <n v="20"/>
    <n v="0"/>
    <n v="62.874999999999993"/>
  </r>
  <r>
    <m/>
    <s v="B2"/>
    <s v="↑"/>
    <n v="2"/>
    <s v="B"/>
    <s v="Andy White"/>
    <m/>
    <s v="B"/>
    <n v="16.780674242424247"/>
    <n v="19"/>
    <n v="0.83500000000000085"/>
    <x v="3"/>
    <n v="30.624999999999996"/>
    <n v="10"/>
    <n v="0"/>
    <n v="40.625"/>
  </r>
  <r>
    <m/>
    <s v="B3"/>
    <s v="↑"/>
    <n v="3"/>
    <s v="B"/>
    <s v="Barry Birchall"/>
    <m/>
    <s v="B"/>
    <n v="1.6646320346320316"/>
    <n v="26"/>
    <n v="-1.375"/>
    <x v="3"/>
    <n v="22.049999999999997"/>
    <n v="5"/>
    <n v="0"/>
    <n v="27.049999999999997"/>
  </r>
  <r>
    <m/>
    <s v="B4"/>
    <s v="↑"/>
    <n v="4"/>
    <s v="B"/>
    <s v="Graham Miller"/>
    <m/>
    <s v="B"/>
    <n v="-8.5657750068861187"/>
    <n v="24"/>
    <n v="0.83500000000000085"/>
    <x v="3"/>
    <n v="14.699999999999998"/>
    <n v="10"/>
    <n v="0"/>
    <n v="24.699999999999996"/>
  </r>
  <r>
    <m/>
    <s v="B5"/>
    <s v="↑"/>
    <n v="5"/>
    <s v="B"/>
    <s v="Chris Luck"/>
    <m/>
    <s v="B"/>
    <n v="-16.044926035502968"/>
    <n v="18"/>
    <n v="-4.9000000000000004"/>
    <x v="2"/>
    <n v="8.5749999999999993"/>
    <n v="10"/>
    <n v="0"/>
    <n v="18.574999999999999"/>
  </r>
  <r>
    <m/>
    <s v="B6"/>
    <s v="↑"/>
    <n v="6"/>
    <s v="B"/>
    <s v="Chris Griffin"/>
    <m/>
    <s v="B"/>
    <n v="-16.614753246753246"/>
    <n v="23"/>
    <n v="0.54999999999999982"/>
    <x v="3"/>
    <n v="3.6749999999999994"/>
    <n v="5"/>
    <n v="0"/>
    <n v="8.6749999999999989"/>
  </r>
  <r>
    <m/>
    <s v="B7"/>
    <s v="Play-off"/>
    <n v="7"/>
    <s v="B"/>
    <s v="Alan Bond"/>
    <m/>
    <s v="B"/>
    <n v="-23.145454545454541"/>
    <n v="14"/>
    <n v="-3.5"/>
    <x v="2"/>
    <n v="0"/>
    <n v="15"/>
    <n v="0"/>
    <n v="15"/>
  </r>
  <r>
    <m/>
    <s v="B8"/>
    <s v="Play-off"/>
    <n v="8"/>
    <s v="B"/>
    <s v="Pete Baron"/>
    <m/>
    <s v="B"/>
    <n v="-27.917812937062934"/>
    <n v="15"/>
    <n v="14"/>
    <x v="3"/>
    <n v="0"/>
    <n v="5"/>
    <n v="0"/>
    <n v="5"/>
  </r>
  <r>
    <m/>
    <s v="B9"/>
    <s v="Play-off"/>
    <n v="9"/>
    <s v="B"/>
    <s v="Alan Rogers"/>
    <m/>
    <s v="B"/>
    <n v="-29.552954545454547"/>
    <n v="14"/>
    <n v="-3.6"/>
    <x v="2"/>
    <n v="0"/>
    <n v="5"/>
    <n v="0"/>
    <n v="5"/>
  </r>
  <r>
    <m/>
    <s v="B10"/>
    <s v="Play-off"/>
    <n v="10"/>
    <s v="B"/>
    <s v="Phil Miller"/>
    <m/>
    <s v="B"/>
    <n v="-32.587728332273784"/>
    <n v="23"/>
    <n v="-1.666666666666667"/>
    <x v="3"/>
    <n v="0"/>
    <n v="0"/>
    <n v="0"/>
    <n v="0"/>
  </r>
  <r>
    <m/>
    <s v="B11"/>
    <s v="↓"/>
    <n v="11"/>
    <s v="B"/>
    <s v="Alfie Davies"/>
    <m/>
    <s v="B"/>
    <n v="-37.09031385281385"/>
    <n v="16"/>
    <n v="-7"/>
    <x v="0"/>
    <n v="0"/>
    <n v="5"/>
    <n v="0"/>
    <n v="5"/>
  </r>
  <r>
    <m/>
    <s v="B12"/>
    <s v="↓"/>
    <n v="12"/>
    <s v="B"/>
    <s v="Paul Adderley"/>
    <m/>
    <s v="B"/>
    <n v="-47.870006475006477"/>
    <n v="17"/>
    <n v="-7"/>
    <x v="0"/>
    <n v="0"/>
    <n v="0"/>
    <n v="0"/>
    <n v="0"/>
  </r>
  <r>
    <m/>
    <s v="B13"/>
    <s v="↓"/>
    <n v="13"/>
    <s v="B"/>
    <s v="Alex Griffin"/>
    <m/>
    <s v="B"/>
    <n v="-51.350201187701181"/>
    <n v="16"/>
    <n v="-7"/>
    <x v="0"/>
    <n v="0"/>
    <n v="0"/>
    <n v="0"/>
    <n v="0"/>
  </r>
  <r>
    <m/>
    <s v="B14"/>
    <s v="↓"/>
    <n v="14"/>
    <s v="B"/>
    <s v="Chris Bow"/>
    <m/>
    <s v="B"/>
    <n v="-53.876666666666658"/>
    <n v="15"/>
    <n v="-5"/>
    <x v="2"/>
    <n v="0"/>
    <n v="5"/>
    <n v="0"/>
    <n v="5"/>
  </r>
  <r>
    <m/>
    <s v="B15"/>
    <s v="↓"/>
    <n v="15"/>
    <s v="B"/>
    <s v="Frank Allen"/>
    <m/>
    <s v="B"/>
    <n v="-54.353950216450222"/>
    <n v="17"/>
    <n v="-4.8499999999999996"/>
    <x v="2"/>
    <n v="0"/>
    <n v="0"/>
    <n v="0"/>
    <n v="0"/>
  </r>
  <r>
    <m/>
    <s v="B16"/>
    <s v="↓"/>
    <n v="16"/>
    <s v="B"/>
    <s v="Dan Gibbard"/>
    <m/>
    <s v="B"/>
    <n v="-105"/>
    <n v="0"/>
    <n v="-7"/>
    <x v="0"/>
    <n v="0"/>
    <n v="0"/>
    <n v="0"/>
    <n v="0"/>
  </r>
  <r>
    <s v="Division C"/>
    <s v="C1"/>
    <s v="↑"/>
    <n v="1"/>
    <s v="C"/>
    <s v="David Dunn"/>
    <m/>
    <s v="C"/>
    <n v="54.895888888888877"/>
    <n v="27"/>
    <n v="-7"/>
    <x v="0"/>
    <n v="18.375"/>
    <n v="30"/>
    <n v="0"/>
    <n v="48.375"/>
  </r>
  <r>
    <m/>
    <s v="C2"/>
    <s v="↑"/>
    <n v="2"/>
    <s v="C"/>
    <s v="Ben Rosser"/>
    <m/>
    <s v="C"/>
    <n v="54.690757575757573"/>
    <n v="17"/>
    <n v="-7"/>
    <x v="0"/>
    <n v="13.125"/>
    <n v="25"/>
    <n v="0"/>
    <n v="38.125"/>
  </r>
  <r>
    <m/>
    <s v="C3"/>
    <s v="↑"/>
    <n v="3"/>
    <s v="C"/>
    <s v="Paul Allen"/>
    <m/>
    <s v="C"/>
    <n v="14.873041125541125"/>
    <n v="21"/>
    <n v="-7"/>
    <x v="0"/>
    <n v="9.4499999999999993"/>
    <n v="20"/>
    <n v="0"/>
    <n v="29.45"/>
  </r>
  <r>
    <m/>
    <s v="C4"/>
    <s v="↑"/>
    <n v="4"/>
    <s v="C"/>
    <s v="Kevin Carter"/>
    <m/>
    <s v="C"/>
    <n v="7.1079545454545396"/>
    <n v="26"/>
    <n v="-0.63030303030303081"/>
    <x v="3"/>
    <n v="6.3"/>
    <n v="5"/>
    <n v="0"/>
    <n v="11.3"/>
  </r>
  <r>
    <m/>
    <s v="C5"/>
    <s v="↑"/>
    <n v="5"/>
    <s v="C"/>
    <s v="Tom Robinson"/>
    <m/>
    <s v="C"/>
    <n v="-4.710988095238096"/>
    <n v="18"/>
    <n v="-5"/>
    <x v="2"/>
    <n v="3.6749999999999998"/>
    <n v="15"/>
    <n v="0"/>
    <n v="18.675000000000001"/>
  </r>
  <r>
    <m/>
    <s v="C6"/>
    <s v="↑"/>
    <n v="6"/>
    <s v="C"/>
    <s v="Vinny Topping"/>
    <m/>
    <s v="C"/>
    <n v="-12.740821678321671"/>
    <n v="19"/>
    <n v="-5.15"/>
    <x v="2"/>
    <n v="1.575"/>
    <n v="10"/>
    <n v="0"/>
    <n v="11.574999999999999"/>
  </r>
  <r>
    <m/>
    <s v="C7"/>
    <s v="Play-off"/>
    <n v="7"/>
    <s v="C"/>
    <s v="Alan White"/>
    <m/>
    <s v="C"/>
    <n v="-13.014666375291375"/>
    <n v="20"/>
    <n v="-4.9000000000000004"/>
    <x v="2"/>
    <n v="0"/>
    <n v="10"/>
    <n v="0"/>
    <n v="10"/>
  </r>
  <r>
    <m/>
    <s v="C8"/>
    <s v="Play-off"/>
    <n v="8"/>
    <s v="C"/>
    <s v="Martin Tarbuck"/>
    <m/>
    <s v="C"/>
    <n v="-20.856522727272729"/>
    <n v="21"/>
    <n v="12.139999999999997"/>
    <x v="1"/>
    <n v="0"/>
    <n v="10"/>
    <n v="0"/>
    <n v="10"/>
  </r>
  <r>
    <m/>
    <s v="C9"/>
    <s v="Play-off"/>
    <n v="9"/>
    <s v="C"/>
    <s v="Paul Barnes"/>
    <m/>
    <s v="C"/>
    <n v="-24.773811188811187"/>
    <n v="18"/>
    <n v="7.5"/>
    <x v="3"/>
    <n v="0"/>
    <n v="5"/>
    <n v="0"/>
    <n v="5"/>
  </r>
  <r>
    <m/>
    <s v="C10"/>
    <s v="Play-off"/>
    <n v="10"/>
    <s v="C"/>
    <s v="Simon Greenhalgh"/>
    <m/>
    <s v="C"/>
    <n v="-40.105454545454542"/>
    <n v="15"/>
    <n v="-3.6"/>
    <x v="2"/>
    <n v="0"/>
    <n v="5"/>
    <n v="0"/>
    <n v="5"/>
  </r>
  <r>
    <m/>
    <s v="C11"/>
    <s v="↔"/>
    <n v="11"/>
    <s v="C"/>
    <s v="Charlie Griffiths"/>
    <m/>
    <s v="C"/>
    <n v="-46.640795454545454"/>
    <n v="14"/>
    <n v="-4.8499999999999996"/>
    <x v="2"/>
    <n v="0"/>
    <n v="0"/>
    <n v="0"/>
    <n v="0"/>
  </r>
  <r>
    <m/>
    <s v="C12"/>
    <s v="↔"/>
    <n v="12"/>
    <s v="C"/>
    <s v="Nick Blocksidge"/>
    <m/>
    <s v="C"/>
    <n v="-55.288611111111109"/>
    <n v="8"/>
    <n v="-7"/>
    <x v="0"/>
    <n v="0"/>
    <n v="5"/>
    <n v="0"/>
    <n v="5"/>
  </r>
  <r>
    <m/>
    <s v="C13"/>
    <s v="↔"/>
    <n v="13"/>
    <s v="C"/>
    <s v="Gareth Powell"/>
    <m/>
    <s v="C"/>
    <n v="-56.95"/>
    <n v="10"/>
    <n v="14"/>
    <x v="3"/>
    <n v="0"/>
    <n v="0"/>
    <n v="0"/>
    <n v="0"/>
  </r>
  <r>
    <m/>
    <s v="C14"/>
    <s v="↔"/>
    <n v="14"/>
    <s v="C"/>
    <s v="Dave Bell"/>
    <m/>
    <s v="C"/>
    <n v="-75.3"/>
    <n v="6"/>
    <n v="-7"/>
    <x v="0"/>
    <n v="0"/>
    <n v="0"/>
    <n v="0"/>
    <n v="0"/>
  </r>
  <r>
    <m/>
    <s v="C15"/>
    <s v="↔"/>
    <n v="15"/>
    <s v="C"/>
    <s v="Emma McDermott"/>
    <m/>
    <s v="C"/>
    <n v="-88.735389610389603"/>
    <n v="6"/>
    <n v="-7"/>
    <x v="0"/>
    <n v="0"/>
    <n v="0"/>
    <n v="0"/>
    <n v="0"/>
  </r>
  <r>
    <m/>
    <s v="C16"/>
    <s v="↔"/>
    <n v="16"/>
    <s v="C"/>
    <s v="John Murphy"/>
    <m/>
    <s v="C"/>
    <n v="-89.1875"/>
    <n v="3"/>
    <n v="-7"/>
    <x v="0"/>
    <n v="0"/>
    <n v="0"/>
    <n v="0"/>
    <n v="0"/>
  </r>
  <r>
    <m/>
    <s v="C17"/>
    <s v="↓"/>
    <n v="17"/>
    <s v="C"/>
    <s v="Bob Bailey"/>
    <m/>
    <s v="C"/>
    <n v="-105"/>
    <n v="0"/>
    <n v="-7"/>
    <x v="0"/>
    <n v="0"/>
    <n v="0"/>
    <n v="0"/>
    <n v="0"/>
  </r>
  <r>
    <m/>
    <s v="C18"/>
    <s v="↓"/>
    <n v="18"/>
    <s v="C"/>
    <s v="Julie Dodd"/>
    <m/>
    <s v="C"/>
    <n v="-105"/>
    <n v="0"/>
    <n v="-7"/>
    <x v="0"/>
    <n v="0"/>
    <n v="0"/>
    <n v="0"/>
    <n v="0"/>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0">
  <r>
    <x v="0"/>
    <s v="5/2"/>
    <n v="3.5"/>
    <x v="0"/>
    <n v="3.5"/>
  </r>
  <r>
    <x v="1"/>
    <s v="13/5"/>
    <n v="3.6"/>
    <x v="1"/>
    <n v="0"/>
  </r>
  <r>
    <x v="2"/>
    <s v="29/10"/>
    <n v="3.9"/>
    <x v="1"/>
    <n v="0"/>
  </r>
  <r>
    <x v="3"/>
    <s v="12/5"/>
    <n v="3.4"/>
    <x v="0"/>
    <n v="3.4"/>
  </r>
  <r>
    <x v="4"/>
    <s v="5/2"/>
    <n v="3.5"/>
    <x v="1"/>
    <n v="0"/>
  </r>
  <r>
    <x v="5"/>
    <s v="7/4"/>
    <n v="2.75"/>
    <x v="1"/>
    <n v="0"/>
  </r>
  <r>
    <x v="6"/>
    <s v="5/6"/>
    <n v="1.8333333333333335"/>
    <x v="1"/>
    <n v="0"/>
  </r>
  <r>
    <x v="7"/>
    <s v="11/10"/>
    <n v="2.1"/>
    <x v="0"/>
    <n v="2.1"/>
  </r>
  <r>
    <x v="8"/>
    <s v="6/5"/>
    <n v="2.2000000000000002"/>
    <x v="1"/>
    <n v="0"/>
  </r>
  <r>
    <x v="9"/>
    <s v="11/5"/>
    <n v="3.2"/>
    <x v="1"/>
    <n v="0"/>
  </r>
  <r>
    <x v="10"/>
    <s v="2/7"/>
    <n v="1.2857142857142856"/>
    <x v="1"/>
    <n v="0"/>
  </r>
  <r>
    <x v="11"/>
    <s v="9/1"/>
    <n v="10"/>
    <x v="1"/>
    <n v="0"/>
  </r>
  <r>
    <x v="12"/>
    <s v="4/5"/>
    <n v="1.8"/>
    <x v="1"/>
    <n v="0"/>
  </r>
  <r>
    <x v="13"/>
    <s v="8/13"/>
    <n v="1.6153846153846154"/>
    <x v="1"/>
    <n v="0"/>
  </r>
  <r>
    <x v="14"/>
    <s v="7/10"/>
    <n v="1.7"/>
    <x v="1"/>
    <n v="0"/>
  </r>
  <r>
    <x v="15"/>
    <s v="13/20"/>
    <n v="1.65"/>
    <x v="0"/>
    <n v="1.65"/>
  </r>
  <r>
    <x v="16"/>
    <s v="23/10"/>
    <n v="3.3"/>
    <x v="1"/>
    <n v="0"/>
  </r>
  <r>
    <x v="17"/>
    <s v="2/7"/>
    <n v="1.2857142857142856"/>
    <x v="1"/>
    <n v="0"/>
  </r>
  <r>
    <x v="7"/>
    <s v="11/10"/>
    <n v="2.1"/>
    <x v="0"/>
    <n v="2.1"/>
  </r>
  <r>
    <x v="18"/>
    <s v="6/5"/>
    <n v="2.2000000000000002"/>
    <x v="1"/>
    <n v="0"/>
  </r>
  <r>
    <x v="19"/>
    <s v="17/20"/>
    <n v="1.85"/>
    <x v="0"/>
    <n v="1.85"/>
  </r>
  <r>
    <x v="20"/>
    <s v="1/2"/>
    <n v="1.5"/>
    <x v="0"/>
    <n v="1.5"/>
  </r>
  <r>
    <x v="17"/>
    <s v="2/7"/>
    <n v="1.2857142857142856"/>
    <x v="1"/>
    <n v="0"/>
  </r>
  <r>
    <x v="15"/>
    <s v="13/20"/>
    <n v="1.65"/>
    <x v="0"/>
    <n v="1.65"/>
  </r>
  <r>
    <x v="8"/>
    <s v="6/5"/>
    <n v="2.2000000000000002"/>
    <x v="1"/>
    <n v="0"/>
  </r>
  <r>
    <x v="21"/>
    <s v="27/10"/>
    <n v="3.7"/>
    <x v="1"/>
    <n v="0"/>
  </r>
  <r>
    <x v="22"/>
    <s v="14/5"/>
    <n v="3.8"/>
    <x v="1"/>
    <n v="0"/>
  </r>
  <r>
    <x v="23"/>
    <e v="#N/A"/>
    <e v="#N/A"/>
    <x v="2"/>
    <e v="#N/A"/>
  </r>
  <r>
    <x v="23"/>
    <e v="#N/A"/>
    <e v="#N/A"/>
    <x v="2"/>
    <e v="#N/A"/>
  </r>
  <r>
    <x v="23"/>
    <e v="#N/A"/>
    <e v="#N/A"/>
    <x v="2"/>
    <e v="#N/A"/>
  </r>
  <r>
    <x v="24"/>
    <s v="5/2"/>
    <n v="3.5"/>
    <x v="1"/>
    <n v="0"/>
  </r>
  <r>
    <x v="25"/>
    <s v="23/20"/>
    <n v="2.15"/>
    <x v="0"/>
    <n v="2.15"/>
  </r>
  <r>
    <x v="26"/>
    <s v="19/20"/>
    <n v="1.95"/>
    <x v="1"/>
    <n v="0"/>
  </r>
  <r>
    <x v="27"/>
    <s v="10/11"/>
    <n v="1.9090909090909092"/>
    <x v="1"/>
    <n v="0"/>
  </r>
  <r>
    <x v="28"/>
    <s v="1/1"/>
    <n v="2"/>
    <x v="0"/>
    <n v="2"/>
  </r>
  <r>
    <x v="29"/>
    <s v="19/20"/>
    <n v="1.95"/>
    <x v="1"/>
    <n v="0"/>
  </r>
  <r>
    <x v="30"/>
    <s v="11/8"/>
    <n v="2.375"/>
    <x v="0"/>
    <n v="2.375"/>
  </r>
  <r>
    <x v="31"/>
    <s v="8/15"/>
    <n v="1.5333333333333332"/>
    <x v="0"/>
    <n v="1.5333333333333332"/>
  </r>
  <r>
    <x v="29"/>
    <s v="19/20"/>
    <n v="1.95"/>
    <x v="1"/>
    <n v="0"/>
  </r>
  <r>
    <x v="7"/>
    <s v="11/10"/>
    <n v="2.1"/>
    <x v="0"/>
    <n v="2.1"/>
  </r>
  <r>
    <x v="18"/>
    <s v="6/5"/>
    <n v="2.2000000000000002"/>
    <x v="1"/>
    <n v="0"/>
  </r>
  <r>
    <x v="8"/>
    <s v="6/5"/>
    <n v="2.2000000000000002"/>
    <x v="1"/>
    <n v="0"/>
  </r>
  <r>
    <x v="32"/>
    <s v="8/1"/>
    <n v="9"/>
    <x v="1"/>
    <n v="0"/>
  </r>
  <r>
    <x v="11"/>
    <s v="9/1"/>
    <n v="10"/>
    <x v="1"/>
    <n v="0"/>
  </r>
  <r>
    <x v="33"/>
    <s v="11/5"/>
    <n v="3.2"/>
    <x v="1"/>
    <n v="0"/>
  </r>
  <r>
    <x v="23"/>
    <e v="#N/A"/>
    <e v="#N/A"/>
    <x v="2"/>
    <e v="#N/A"/>
  </r>
  <r>
    <x v="23"/>
    <e v="#N/A"/>
    <e v="#N/A"/>
    <x v="2"/>
    <e v="#N/A"/>
  </r>
  <r>
    <x v="23"/>
    <e v="#N/A"/>
    <e v="#N/A"/>
    <x v="2"/>
    <e v="#N/A"/>
  </r>
  <r>
    <x v="34"/>
    <s v="13/2"/>
    <n v="7.5"/>
    <x v="1"/>
    <n v="0"/>
  </r>
  <r>
    <x v="11"/>
    <s v="9/1"/>
    <n v="10"/>
    <x v="1"/>
    <n v="0"/>
  </r>
  <r>
    <x v="32"/>
    <s v="8/1"/>
    <n v="9"/>
    <x v="1"/>
    <n v="0"/>
  </r>
  <r>
    <x v="23"/>
    <e v="#N/A"/>
    <e v="#N/A"/>
    <x v="2"/>
    <e v="#N/A"/>
  </r>
  <r>
    <x v="23"/>
    <e v="#N/A"/>
    <e v="#N/A"/>
    <x v="2"/>
    <e v="#N/A"/>
  </r>
  <r>
    <x v="23"/>
    <e v="#N/A"/>
    <e v="#N/A"/>
    <x v="2"/>
    <e v="#N/A"/>
  </r>
  <r>
    <x v="9"/>
    <s v="11/5"/>
    <n v="3.2"/>
    <x v="1"/>
    <n v="0"/>
  </r>
  <r>
    <x v="18"/>
    <s v="6/5"/>
    <n v="2.2000000000000002"/>
    <x v="1"/>
    <n v="0"/>
  </r>
  <r>
    <x v="10"/>
    <s v="2/7"/>
    <n v="1.2857142857142856"/>
    <x v="1"/>
    <n v="0"/>
  </r>
  <r>
    <x v="23"/>
    <e v="#N/A"/>
    <e v="#N/A"/>
    <x v="2"/>
    <e v="#N/A"/>
  </r>
  <r>
    <x v="23"/>
    <e v="#N/A"/>
    <e v="#N/A"/>
    <x v="2"/>
    <e v="#N/A"/>
  </r>
  <r>
    <x v="23"/>
    <e v="#N/A"/>
    <e v="#N/A"/>
    <x v="2"/>
    <e v="#N/A"/>
  </r>
  <r>
    <x v="13"/>
    <s v="8/13"/>
    <n v="1.6153846153846154"/>
    <x v="1"/>
    <n v="0"/>
  </r>
  <r>
    <x v="35"/>
    <s v="1/1"/>
    <n v="2"/>
    <x v="1"/>
    <n v="0"/>
  </r>
  <r>
    <x v="25"/>
    <s v="23/20"/>
    <n v="2.15"/>
    <x v="0"/>
    <n v="2.15"/>
  </r>
  <r>
    <x v="18"/>
    <s v="6/5"/>
    <n v="2.2000000000000002"/>
    <x v="1"/>
    <n v="0"/>
  </r>
  <r>
    <x v="36"/>
    <s v="12/5"/>
    <n v="3.4"/>
    <x v="0"/>
    <n v="3.4"/>
  </r>
  <r>
    <x v="37"/>
    <s v="3/1"/>
    <n v="4"/>
    <x v="0"/>
    <n v="4"/>
  </r>
  <r>
    <x v="30"/>
    <s v="11/8"/>
    <n v="2.375"/>
    <x v="0"/>
    <n v="2.375"/>
  </r>
  <r>
    <x v="38"/>
    <s v="2/1"/>
    <n v="3"/>
    <x v="0"/>
    <n v="3"/>
  </r>
  <r>
    <x v="39"/>
    <s v="16/5"/>
    <n v="4.2"/>
    <x v="0"/>
    <n v="4.2"/>
  </r>
  <r>
    <x v="19"/>
    <s v="17/20"/>
    <n v="1.85"/>
    <x v="0"/>
    <n v="1.85"/>
  </r>
  <r>
    <x v="7"/>
    <s v="11/10"/>
    <n v="2.1"/>
    <x v="0"/>
    <n v="2.1"/>
  </r>
  <r>
    <x v="40"/>
    <s v="19/10"/>
    <n v="2.9"/>
    <x v="1"/>
    <n v="0"/>
  </r>
  <r>
    <x v="12"/>
    <s v="4/5"/>
    <n v="1.8"/>
    <x v="1"/>
    <n v="0"/>
  </r>
  <r>
    <x v="27"/>
    <s v="10/11"/>
    <n v="1.9090909090909092"/>
    <x v="1"/>
    <n v="0"/>
  </r>
  <r>
    <x v="41"/>
    <s v="1/1"/>
    <n v="2"/>
    <x v="0"/>
    <n v="2"/>
  </r>
  <r>
    <x v="42"/>
    <s v="19/20"/>
    <n v="1.95"/>
    <x v="0"/>
    <n v="1.95"/>
  </r>
  <r>
    <x v="31"/>
    <s v="8/15"/>
    <n v="1.5333333333333332"/>
    <x v="0"/>
    <n v="1.5333333333333332"/>
  </r>
  <r>
    <x v="43"/>
    <s v="4/5"/>
    <n v="1.8"/>
    <x v="1"/>
    <n v="0"/>
  </r>
  <r>
    <x v="23"/>
    <e v="#N/A"/>
    <e v="#N/A"/>
    <x v="2"/>
    <e v="#N/A"/>
  </r>
  <r>
    <x v="23"/>
    <e v="#N/A"/>
    <e v="#N/A"/>
    <x v="2"/>
    <e v="#N/A"/>
  </r>
  <r>
    <x v="23"/>
    <e v="#N/A"/>
    <e v="#N/A"/>
    <x v="2"/>
    <e v="#N/A"/>
  </r>
  <r>
    <x v="23"/>
    <e v="#N/A"/>
    <e v="#N/A"/>
    <x v="2"/>
    <e v="#N/A"/>
  </r>
  <r>
    <x v="23"/>
    <e v="#N/A"/>
    <e v="#N/A"/>
    <x v="2"/>
    <e v="#N/A"/>
  </r>
  <r>
    <x v="23"/>
    <e v="#N/A"/>
    <e v="#N/A"/>
    <x v="2"/>
    <e v="#N/A"/>
  </r>
  <r>
    <x v="13"/>
    <s v="8/13"/>
    <n v="1.6153846153846154"/>
    <x v="1"/>
    <n v="0"/>
  </r>
  <r>
    <x v="31"/>
    <s v="8/15"/>
    <n v="1.5333333333333332"/>
    <x v="0"/>
    <n v="1.5333333333333332"/>
  </r>
  <r>
    <x v="44"/>
    <s v="10/11"/>
    <n v="1.9090909090909092"/>
    <x v="0"/>
    <n v="1.9090909090909092"/>
  </r>
  <r>
    <x v="20"/>
    <s v="1/2"/>
    <n v="1.5"/>
    <x v="0"/>
    <n v="1.5"/>
  </r>
  <r>
    <x v="45"/>
    <s v="8/15"/>
    <n v="1.5333333333333332"/>
    <x v="1"/>
    <n v="0"/>
  </r>
  <r>
    <x v="17"/>
    <s v="2/7"/>
    <n v="1.2857142857142856"/>
    <x v="1"/>
    <n v="0"/>
  </r>
  <r>
    <x v="46"/>
    <s v="8/5"/>
    <n v="2.6"/>
    <x v="1"/>
    <n v="0"/>
  </r>
  <r>
    <x v="30"/>
    <s v="11/8"/>
    <n v="2.375"/>
    <x v="0"/>
    <n v="2.375"/>
  </r>
  <r>
    <x v="24"/>
    <s v="5/2"/>
    <n v="3.5"/>
    <x v="1"/>
    <n v="0"/>
  </r>
  <r>
    <x v="47"/>
    <s v="13/10"/>
    <n v="2.2999999999999998"/>
    <x v="0"/>
    <n v="2.2999999999999998"/>
  </r>
  <r>
    <x v="9"/>
    <s v="11/5"/>
    <n v="3.2"/>
    <x v="1"/>
    <n v="0"/>
  </r>
  <r>
    <x v="6"/>
    <s v="5/6"/>
    <n v="1.8333333333333335"/>
    <x v="1"/>
    <n v="0"/>
  </r>
  <r>
    <x v="42"/>
    <s v="19/20"/>
    <n v="1.95"/>
    <x v="0"/>
    <n v="1.95"/>
  </r>
  <r>
    <x v="48"/>
    <s v="2/9"/>
    <n v="1.2222222222222223"/>
    <x v="0"/>
    <n v="1.2222222222222223"/>
  </r>
  <r>
    <x v="19"/>
    <s v="17/20"/>
    <n v="1.85"/>
    <x v="0"/>
    <n v="1.85"/>
  </r>
  <r>
    <x v="31"/>
    <s v="8/15"/>
    <n v="1.5333333333333332"/>
    <x v="0"/>
    <n v="1.5333333333333332"/>
  </r>
  <r>
    <x v="15"/>
    <s v="13/20"/>
    <n v="1.65"/>
    <x v="0"/>
    <n v="1.65"/>
  </r>
  <r>
    <x v="41"/>
    <s v="1/1"/>
    <n v="2"/>
    <x v="0"/>
    <n v="2"/>
  </r>
  <r>
    <x v="30"/>
    <s v="11/8"/>
    <n v="2.375"/>
    <x v="0"/>
    <n v="2.375"/>
  </r>
  <r>
    <x v="49"/>
    <s v="11/10"/>
    <n v="2.1"/>
    <x v="1"/>
    <n v="0"/>
  </r>
  <r>
    <x v="50"/>
    <s v="1/1"/>
    <n v="2"/>
    <x v="0"/>
    <n v="2"/>
  </r>
  <r>
    <x v="31"/>
    <s v="8/15"/>
    <n v="1.5333333333333332"/>
    <x v="0"/>
    <n v="1.5333333333333332"/>
  </r>
  <r>
    <x v="45"/>
    <s v="8/15"/>
    <n v="1.5333333333333332"/>
    <x v="1"/>
    <n v="0"/>
  </r>
  <r>
    <x v="29"/>
    <s v="19/20"/>
    <n v="1.95"/>
    <x v="1"/>
    <n v="0"/>
  </r>
  <r>
    <x v="23"/>
    <e v="#N/A"/>
    <e v="#N/A"/>
    <x v="2"/>
    <e v="#N/A"/>
  </r>
  <r>
    <x v="23"/>
    <e v="#N/A"/>
    <e v="#N/A"/>
    <x v="2"/>
    <e v="#N/A"/>
  </r>
  <r>
    <x v="23"/>
    <e v="#N/A"/>
    <e v="#N/A"/>
    <x v="2"/>
    <e v="#N/A"/>
  </r>
  <r>
    <x v="46"/>
    <s v="8/5"/>
    <n v="2.6"/>
    <x v="1"/>
    <n v="0"/>
  </r>
  <r>
    <x v="29"/>
    <s v="19/20"/>
    <n v="1.95"/>
    <x v="1"/>
    <n v="0"/>
  </r>
  <r>
    <x v="42"/>
    <s v="19/20"/>
    <n v="1.95"/>
    <x v="0"/>
    <n v="1.95"/>
  </r>
  <r>
    <x v="23"/>
    <e v="#N/A"/>
    <e v="#N/A"/>
    <x v="2"/>
    <e v="#N/A"/>
  </r>
  <r>
    <x v="23"/>
    <e v="#N/A"/>
    <e v="#N/A"/>
    <x v="2"/>
    <e v="#N/A"/>
  </r>
  <r>
    <x v="23"/>
    <e v="#N/A"/>
    <e v="#N/A"/>
    <x v="2"/>
    <e v="#N/A"/>
  </r>
  <r>
    <x v="51"/>
    <s v="14/5"/>
    <n v="3.8"/>
    <x v="1"/>
    <n v="0"/>
  </r>
  <r>
    <x v="12"/>
    <s v="4/5"/>
    <n v="1.8"/>
    <x v="1"/>
    <n v="0"/>
  </r>
  <r>
    <x v="13"/>
    <s v="8/13"/>
    <n v="1.6153846153846154"/>
    <x v="1"/>
    <n v="0"/>
  </r>
  <r>
    <x v="18"/>
    <s v="6/5"/>
    <n v="2.2000000000000002"/>
    <x v="1"/>
    <n v="0"/>
  </r>
  <r>
    <x v="37"/>
    <s v="3/1"/>
    <n v="4"/>
    <x v="0"/>
    <n v="4"/>
  </r>
  <r>
    <x v="7"/>
    <s v="11/10"/>
    <n v="2.1"/>
    <x v="0"/>
    <n v="2.1"/>
  </r>
  <r>
    <x v="1"/>
    <s v="13/5"/>
    <n v="3.6"/>
    <x v="1"/>
    <n v="0"/>
  </r>
  <r>
    <x v="32"/>
    <s v="8/1"/>
    <n v="9"/>
    <x v="1"/>
    <n v="0"/>
  </r>
  <r>
    <x v="52"/>
    <s v="10/3"/>
    <n v="4.3333333333333339"/>
    <x v="1"/>
    <n v="0"/>
  </r>
  <r>
    <x v="52"/>
    <s v="10/3"/>
    <n v="4.3333333333333339"/>
    <x v="1"/>
    <n v="0"/>
  </r>
  <r>
    <x v="37"/>
    <s v="3/1"/>
    <n v="4"/>
    <x v="0"/>
    <n v="4"/>
  </r>
  <r>
    <x v="36"/>
    <s v="12/5"/>
    <n v="3.4"/>
    <x v="0"/>
    <n v="3.4"/>
  </r>
  <r>
    <x v="20"/>
    <s v="1/2"/>
    <n v="1.5"/>
    <x v="0"/>
    <n v="1.5"/>
  </r>
  <r>
    <x v="31"/>
    <s v="8/15"/>
    <n v="1.5333333333333332"/>
    <x v="0"/>
    <n v="1.5333333333333332"/>
  </r>
  <r>
    <x v="17"/>
    <s v="2/7"/>
    <n v="1.2857142857142856"/>
    <x v="1"/>
    <n v="0"/>
  </r>
  <r>
    <x v="53"/>
    <s v="7/10"/>
    <n v="1.7"/>
    <x v="0"/>
    <n v="1.7"/>
  </r>
  <r>
    <x v="45"/>
    <s v="8/15"/>
    <n v="1.5333333333333332"/>
    <x v="1"/>
    <n v="0"/>
  </r>
  <r>
    <x v="54"/>
    <s v="13/20"/>
    <n v="1.65"/>
    <x v="0"/>
    <n v="1.65"/>
  </r>
  <r>
    <x v="36"/>
    <s v="12/5"/>
    <n v="3.4"/>
    <x v="0"/>
    <n v="3.4"/>
  </r>
  <r>
    <x v="55"/>
    <s v="3/1"/>
    <n v="4"/>
    <x v="1"/>
    <n v="0"/>
  </r>
  <r>
    <x v="52"/>
    <s v="10/3"/>
    <n v="4.3333333333333339"/>
    <x v="1"/>
    <n v="0"/>
  </r>
  <r>
    <x v="19"/>
    <s v="17/20"/>
    <n v="1.85"/>
    <x v="0"/>
    <n v="1.85"/>
  </r>
  <r>
    <x v="56"/>
    <s v="27/10"/>
    <n v="3.7"/>
    <x v="1"/>
    <n v="0"/>
  </r>
  <r>
    <x v="30"/>
    <s v="11/8"/>
    <n v="2.375"/>
    <x v="0"/>
    <n v="2.375"/>
  </r>
  <r>
    <x v="57"/>
    <s v="17/20"/>
    <n v="1.85"/>
    <x v="0"/>
    <n v="1.85"/>
  </r>
  <r>
    <x v="7"/>
    <s v="11/10"/>
    <n v="2.1"/>
    <x v="0"/>
    <n v="2.1"/>
  </r>
  <r>
    <x v="14"/>
    <s v="7/10"/>
    <n v="1.7"/>
    <x v="1"/>
    <n v="0"/>
  </r>
  <r>
    <x v="28"/>
    <s v="1/1"/>
    <n v="2"/>
    <x v="0"/>
    <n v="2"/>
  </r>
  <r>
    <x v="29"/>
    <s v="19/20"/>
    <n v="1.95"/>
    <x v="1"/>
    <n v="0"/>
  </r>
  <r>
    <x v="58"/>
    <s v="5/2"/>
    <n v="3.5"/>
    <x v="1"/>
    <n v="0"/>
  </r>
  <r>
    <x v="27"/>
    <s v="10/11"/>
    <n v="1.9090909090909092"/>
    <x v="1"/>
    <n v="0"/>
  </r>
  <r>
    <x v="59"/>
    <s v="17/20"/>
    <n v="1.85"/>
    <x v="0"/>
    <n v="1.85"/>
  </r>
  <r>
    <x v="29"/>
    <s v="19/20"/>
    <n v="1.95"/>
    <x v="1"/>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51CD632-9F33-4A02-8657-6255689391A7}" name="PivotTable4" cacheId="19"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D64" firstHeaderRow="1" firstDataRow="2" firstDataCol="1"/>
  <pivotFields count="5">
    <pivotField axis="axisRow" compact="0" outline="0" subtotalTop="0" multipleItemSelectionAllowed="1" showAll="0" defaultSubtotal="0">
      <items count="214">
        <item x="23"/>
        <item m="1" x="211"/>
        <item m="1" x="170"/>
        <item m="1" x="182"/>
        <item m="1" x="108"/>
        <item m="1" x="95"/>
        <item m="1" x="97"/>
        <item x="42"/>
        <item x="5"/>
        <item x="43"/>
        <item x="14"/>
        <item x="10"/>
        <item x="6"/>
        <item x="34"/>
        <item m="1" x="136"/>
        <item x="19"/>
        <item m="1" x="173"/>
        <item m="1" x="200"/>
        <item m="1" x="124"/>
        <item m="1" x="152"/>
        <item m="1" x="116"/>
        <item x="22"/>
        <item x="59"/>
        <item x="25"/>
        <item x="0"/>
        <item x="40"/>
        <item x="30"/>
        <item x="54"/>
        <item m="1" x="113"/>
        <item m="1" x="117"/>
        <item x="27"/>
        <item m="1" x="138"/>
        <item m="1" x="129"/>
        <item m="1" x="145"/>
        <item m="1" x="159"/>
        <item m="1" x="166"/>
        <item m="1" x="122"/>
        <item m="1" x="143"/>
        <item x="31"/>
        <item m="1" x="144"/>
        <item x="48"/>
        <item x="7"/>
        <item x="46"/>
        <item m="1" x="96"/>
        <item x="17"/>
        <item x="11"/>
        <item m="1" x="125"/>
        <item m="1" x="121"/>
        <item x="47"/>
        <item m="1" x="127"/>
        <item m="1" x="157"/>
        <item x="51"/>
        <item x="24"/>
        <item m="1" x="128"/>
        <item m="1" x="86"/>
        <item m="1" x="175"/>
        <item m="1" x="212"/>
        <item m="1" x="213"/>
        <item m="1" x="123"/>
        <item m="1" x="140"/>
        <item m="1" x="130"/>
        <item m="1" x="169"/>
        <item m="1" x="93"/>
        <item x="13"/>
        <item m="1" x="131"/>
        <item m="1" x="149"/>
        <item x="58"/>
        <item m="1" x="209"/>
        <item m="1" x="99"/>
        <item m="1" x="202"/>
        <item x="49"/>
        <item m="1" x="98"/>
        <item m="1" x="185"/>
        <item m="1" x="161"/>
        <item m="1" x="83"/>
        <item m="1" x="205"/>
        <item m="1" x="142"/>
        <item m="1" x="187"/>
        <item m="1" x="74"/>
        <item x="12"/>
        <item m="1" x="193"/>
        <item m="1" x="178"/>
        <item x="53"/>
        <item x="57"/>
        <item x="38"/>
        <item m="1" x="137"/>
        <item x="29"/>
        <item m="1" x="114"/>
        <item m="1" x="172"/>
        <item x="9"/>
        <item m="1" x="118"/>
        <item m="1" x="150"/>
        <item x="20"/>
        <item m="1" x="210"/>
        <item x="28"/>
        <item m="1" x="89"/>
        <item x="18"/>
        <item m="1" x="126"/>
        <item x="44"/>
        <item m="1" x="198"/>
        <item m="1" x="196"/>
        <item x="56"/>
        <item x="21"/>
        <item m="1" x="141"/>
        <item m="1" x="201"/>
        <item m="1" x="164"/>
        <item m="1" x="180"/>
        <item x="8"/>
        <item m="1" x="162"/>
        <item m="1" x="194"/>
        <item m="1" x="167"/>
        <item m="1" x="188"/>
        <item m="1" x="204"/>
        <item m="1" x="207"/>
        <item x="33"/>
        <item m="1" x="151"/>
        <item m="1" x="90"/>
        <item m="1" x="208"/>
        <item m="1" x="135"/>
        <item m="1" x="168"/>
        <item m="1" x="154"/>
        <item m="1" x="110"/>
        <item x="45"/>
        <item m="1" x="146"/>
        <item x="41"/>
        <item m="1" x="181"/>
        <item m="1" x="75"/>
        <item x="15"/>
        <item m="1" x="186"/>
        <item x="50"/>
        <item m="1" x="206"/>
        <item x="26"/>
        <item x="4"/>
        <item m="1" x="184"/>
        <item m="1" x="139"/>
        <item m="1" x="155"/>
        <item m="1" x="203"/>
        <item x="3"/>
        <item m="1" x="177"/>
        <item m="1" x="176"/>
        <item m="1" x="197"/>
        <item x="32"/>
        <item x="16"/>
        <item m="1" x="82"/>
        <item m="1" x="191"/>
        <item m="1" x="60"/>
        <item m="1" x="192"/>
        <item m="1" x="115"/>
        <item m="1" x="165"/>
        <item m="1" x="195"/>
        <item m="1" x="183"/>
        <item m="1" x="171"/>
        <item m="1" x="199"/>
        <item x="2"/>
        <item m="1" x="163"/>
        <item x="37"/>
        <item x="36"/>
        <item m="1" x="147"/>
        <item m="1" x="189"/>
        <item m="1" x="190"/>
        <item x="35"/>
        <item m="1" x="61"/>
        <item m="1" x="174"/>
        <item m="1" x="179"/>
        <item m="1" x="119"/>
        <item m="1" x="160"/>
        <item m="1" x="148"/>
        <item x="55"/>
        <item m="1" x="132"/>
        <item x="52"/>
        <item m="1" x="156"/>
        <item m="1" x="158"/>
        <item m="1" x="134"/>
        <item m="1" x="153"/>
        <item m="1" x="133"/>
        <item m="1" x="120"/>
        <item m="1" x="62"/>
        <item m="1" x="63"/>
        <item m="1" x="64"/>
        <item m="1" x="65"/>
        <item m="1" x="66"/>
        <item m="1" x="67"/>
        <item m="1" x="68"/>
        <item m="1" x="69"/>
        <item m="1" x="70"/>
        <item m="1" x="71"/>
        <item m="1" x="72"/>
        <item m="1" x="73"/>
        <item m="1" x="76"/>
        <item m="1" x="77"/>
        <item m="1" x="78"/>
        <item m="1" x="79"/>
        <item m="1" x="80"/>
        <item m="1" x="81"/>
        <item m="1" x="84"/>
        <item m="1" x="85"/>
        <item m="1" x="87"/>
        <item m="1" x="88"/>
        <item m="1" x="91"/>
        <item m="1" x="92"/>
        <item m="1" x="94"/>
        <item m="1" x="100"/>
        <item m="1" x="101"/>
        <item m="1" x="102"/>
        <item m="1" x="103"/>
        <item m="1" x="104"/>
        <item m="1" x="105"/>
        <item m="1" x="106"/>
        <item m="1" x="107"/>
        <item m="1" x="109"/>
        <item m="1" x="111"/>
        <item m="1" x="112"/>
        <item x="1"/>
        <item x="39"/>
      </items>
    </pivotField>
    <pivotField compact="0" outline="0" showAll="0" includeNewItemsInFilter="1"/>
    <pivotField compact="0" numFmtId="175" outline="0" showAll="0" includeNewItemsInFilter="1"/>
    <pivotField axis="axisCol" compact="0" outline="0" showAll="0" includeNewItemsInFilter="1">
      <items count="4">
        <item h="1" x="2"/>
        <item x="1"/>
        <item x="0"/>
        <item t="default"/>
      </items>
    </pivotField>
    <pivotField dataField="1" compact="0" numFmtId="2" outline="0" showAll="0" includeNewItemsInFilter="1"/>
  </pivotFields>
  <rowFields count="1">
    <field x="0"/>
  </rowFields>
  <rowItems count="60">
    <i>
      <x v="7"/>
    </i>
    <i>
      <x v="8"/>
    </i>
    <i>
      <x v="9"/>
    </i>
    <i>
      <x v="10"/>
    </i>
    <i>
      <x v="11"/>
    </i>
    <i>
      <x v="12"/>
    </i>
    <i>
      <x v="13"/>
    </i>
    <i>
      <x v="15"/>
    </i>
    <i>
      <x v="21"/>
    </i>
    <i>
      <x v="22"/>
    </i>
    <i>
      <x v="23"/>
    </i>
    <i>
      <x v="24"/>
    </i>
    <i>
      <x v="25"/>
    </i>
    <i>
      <x v="26"/>
    </i>
    <i>
      <x v="27"/>
    </i>
    <i>
      <x v="30"/>
    </i>
    <i>
      <x v="38"/>
    </i>
    <i>
      <x v="40"/>
    </i>
    <i>
      <x v="41"/>
    </i>
    <i>
      <x v="42"/>
    </i>
    <i>
      <x v="44"/>
    </i>
    <i>
      <x v="45"/>
    </i>
    <i>
      <x v="48"/>
    </i>
    <i>
      <x v="51"/>
    </i>
    <i>
      <x v="52"/>
    </i>
    <i>
      <x v="63"/>
    </i>
    <i>
      <x v="66"/>
    </i>
    <i>
      <x v="70"/>
    </i>
    <i>
      <x v="79"/>
    </i>
    <i>
      <x v="82"/>
    </i>
    <i>
      <x v="83"/>
    </i>
    <i>
      <x v="84"/>
    </i>
    <i>
      <x v="86"/>
    </i>
    <i>
      <x v="89"/>
    </i>
    <i>
      <x v="92"/>
    </i>
    <i>
      <x v="94"/>
    </i>
    <i>
      <x v="96"/>
    </i>
    <i>
      <x v="98"/>
    </i>
    <i>
      <x v="101"/>
    </i>
    <i>
      <x v="102"/>
    </i>
    <i>
      <x v="107"/>
    </i>
    <i>
      <x v="114"/>
    </i>
    <i>
      <x v="122"/>
    </i>
    <i>
      <x v="124"/>
    </i>
    <i>
      <x v="127"/>
    </i>
    <i>
      <x v="129"/>
    </i>
    <i>
      <x v="131"/>
    </i>
    <i>
      <x v="132"/>
    </i>
    <i>
      <x v="137"/>
    </i>
    <i>
      <x v="141"/>
    </i>
    <i>
      <x v="142"/>
    </i>
    <i>
      <x v="153"/>
    </i>
    <i>
      <x v="155"/>
    </i>
    <i>
      <x v="156"/>
    </i>
    <i>
      <x v="160"/>
    </i>
    <i>
      <x v="167"/>
    </i>
    <i>
      <x v="169"/>
    </i>
    <i>
      <x v="212"/>
    </i>
    <i>
      <x v="213"/>
    </i>
    <i t="grand">
      <x/>
    </i>
  </rowItems>
  <colFields count="1">
    <field x="3"/>
  </colFields>
  <colItems count="3">
    <i>
      <x v="1"/>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8265CE5-F5E4-4E65-A9E6-97D501409DF4}" name="PivotTable1" cacheId="14"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B9" firstHeaderRow="2" firstDataRow="2" firstDataCol="1"/>
  <pivotFields count="16">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sortType="descending">
      <items count="5">
        <item x="1"/>
        <item x="3"/>
        <item x="2"/>
        <item x="0"/>
        <item t="default"/>
      </items>
    </pivotField>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s>
  <rowFields count="1">
    <field x="11"/>
  </rowFields>
  <rowItems count="5">
    <i>
      <x/>
    </i>
    <i>
      <x v="1"/>
    </i>
    <i>
      <x v="2"/>
    </i>
    <i>
      <x v="3"/>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8"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G2:H9" firstHeaderRow="1" firstDataRow="1" firstDataCol="1"/>
  <pivotFields count="5">
    <pivotField showAll="0"/>
    <pivotField showAll="0"/>
    <pivotField dataField="1" showAll="0"/>
    <pivotField axis="axisRow" showAll="0">
      <items count="7">
        <item x="0"/>
        <item x="1"/>
        <item x="3"/>
        <item x="4"/>
        <item x="2"/>
        <item x="5"/>
        <item t="default"/>
      </items>
    </pivotField>
    <pivotField showAll="0"/>
  </pivotFields>
  <rowFields count="1">
    <field x="3"/>
  </rowFields>
  <rowItems count="7">
    <i>
      <x/>
    </i>
    <i>
      <x v="1"/>
    </i>
    <i>
      <x v="2"/>
    </i>
    <i>
      <x v="3"/>
    </i>
    <i>
      <x v="4"/>
    </i>
    <i>
      <x v="5"/>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1.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4.bin"/><Relationship Id="rId1" Type="http://schemas.openxmlformats.org/officeDocument/2006/relationships/pivotTable" Target="../pivotTables/pivotTable3.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9.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A15" sqref="A15"/>
    </sheetView>
  </sheetViews>
  <sheetFormatPr defaultRowHeight="12.75"/>
  <cols>
    <col min="1" max="1" width="49.265625" customWidth="1"/>
    <col min="2" max="5" width="37.73046875" customWidth="1"/>
  </cols>
  <sheetData>
    <row r="1" spans="1:9" ht="60" customHeight="1">
      <c r="A1" s="103"/>
      <c r="B1" s="365" t="s">
        <v>343</v>
      </c>
      <c r="C1" s="103"/>
      <c r="D1" s="103"/>
      <c r="E1" s="103"/>
      <c r="F1" s="103"/>
      <c r="G1" s="103"/>
      <c r="H1" s="103"/>
      <c r="I1" s="103"/>
    </row>
    <row r="2" spans="1:9" ht="35.1" customHeight="1">
      <c r="A2" s="103"/>
      <c r="B2" s="358" t="s">
        <v>334</v>
      </c>
      <c r="C2" s="359" t="s">
        <v>333</v>
      </c>
      <c r="D2" s="359" t="s">
        <v>335</v>
      </c>
      <c r="E2" s="360" t="s">
        <v>336</v>
      </c>
      <c r="F2" s="103"/>
      <c r="G2" s="103"/>
      <c r="H2" s="103"/>
      <c r="I2" s="103"/>
    </row>
    <row r="3" spans="1:9" ht="35.1" customHeight="1">
      <c r="A3" s="103"/>
      <c r="B3" s="357" t="s">
        <v>317</v>
      </c>
      <c r="C3" s="357" t="s">
        <v>330</v>
      </c>
      <c r="D3" s="357" t="s">
        <v>323</v>
      </c>
      <c r="E3" s="357" t="s">
        <v>338</v>
      </c>
      <c r="F3" s="103"/>
      <c r="G3" s="103"/>
      <c r="H3" s="103"/>
      <c r="I3" s="103"/>
    </row>
    <row r="4" spans="1:9" ht="35.1" customHeight="1">
      <c r="A4" s="103"/>
      <c r="B4" s="357" t="s">
        <v>318</v>
      </c>
      <c r="C4" s="357" t="s">
        <v>327</v>
      </c>
      <c r="D4" s="357" t="s">
        <v>324</v>
      </c>
      <c r="E4" s="357" t="s">
        <v>131</v>
      </c>
      <c r="F4" s="103"/>
      <c r="G4" s="103"/>
      <c r="H4" s="103"/>
      <c r="I4" s="103"/>
    </row>
    <row r="5" spans="1:9" ht="35.1" customHeight="1">
      <c r="A5" s="103"/>
      <c r="B5" s="357" t="s">
        <v>319</v>
      </c>
      <c r="C5" s="357" t="s">
        <v>328</v>
      </c>
      <c r="D5" s="357" t="s">
        <v>325</v>
      </c>
      <c r="E5" s="357" t="s">
        <v>339</v>
      </c>
      <c r="F5" s="103"/>
      <c r="G5" s="103"/>
      <c r="H5" s="103"/>
      <c r="I5" s="103"/>
    </row>
    <row r="6" spans="1:9" ht="35.1" customHeight="1">
      <c r="A6" s="103"/>
      <c r="B6" s="357" t="s">
        <v>320</v>
      </c>
      <c r="C6" s="357" t="s">
        <v>326</v>
      </c>
      <c r="D6" s="357" t="s">
        <v>331</v>
      </c>
      <c r="E6" s="357" t="s">
        <v>340</v>
      </c>
      <c r="F6" s="103"/>
      <c r="G6" s="103"/>
      <c r="H6" s="103"/>
      <c r="I6" s="103"/>
    </row>
    <row r="7" spans="1:9" ht="35.1" customHeight="1">
      <c r="A7" s="103"/>
      <c r="B7" s="357" t="s">
        <v>321</v>
      </c>
      <c r="C7" s="357" t="s">
        <v>329</v>
      </c>
      <c r="D7" s="357" t="s">
        <v>332</v>
      </c>
      <c r="E7" s="357" t="s">
        <v>341</v>
      </c>
      <c r="F7" s="103"/>
      <c r="G7" s="103"/>
      <c r="H7" s="103"/>
      <c r="I7" s="103"/>
    </row>
    <row r="8" spans="1:9" ht="35.1" customHeight="1">
      <c r="A8" s="103"/>
      <c r="B8" s="357" t="s">
        <v>322</v>
      </c>
      <c r="C8" s="357"/>
      <c r="D8" s="357" t="s">
        <v>337</v>
      </c>
      <c r="E8" s="357" t="s">
        <v>345</v>
      </c>
      <c r="F8" s="103"/>
      <c r="G8" s="103"/>
      <c r="H8" s="103"/>
      <c r="I8" s="103"/>
    </row>
    <row r="9" spans="1:9" ht="20.100000000000001" customHeight="1">
      <c r="A9" s="103"/>
      <c r="B9" s="103"/>
      <c r="C9" s="103"/>
      <c r="D9" s="103"/>
      <c r="E9" s="103"/>
      <c r="F9" s="103"/>
      <c r="G9" s="103"/>
      <c r="H9" s="103"/>
      <c r="I9" s="103"/>
    </row>
    <row r="10" spans="1:9" ht="20.100000000000001" customHeight="1">
      <c r="A10" s="103"/>
      <c r="B10" s="103"/>
      <c r="C10" s="103"/>
      <c r="D10" s="103"/>
      <c r="E10" s="103"/>
      <c r="F10" s="103"/>
      <c r="G10" s="103"/>
      <c r="H10" s="103"/>
      <c r="I10" s="103"/>
    </row>
    <row r="11" spans="1:9" ht="20.100000000000001" customHeight="1">
      <c r="A11" s="103"/>
      <c r="B11" s="103"/>
      <c r="C11" s="103"/>
      <c r="D11" s="103"/>
      <c r="E11" s="103"/>
      <c r="F11" s="103"/>
      <c r="G11" s="103"/>
      <c r="H11" s="103"/>
      <c r="I11" s="103"/>
    </row>
    <row r="12" spans="1:9" ht="20.100000000000001" customHeight="1">
      <c r="A12" s="103"/>
      <c r="B12" s="103"/>
      <c r="C12" s="103"/>
      <c r="D12" s="103"/>
      <c r="E12" s="103"/>
      <c r="F12" s="103"/>
      <c r="G12" s="103"/>
      <c r="H12" s="103"/>
      <c r="I12" s="103"/>
    </row>
    <row r="13" spans="1:9" ht="20.100000000000001" customHeight="1">
      <c r="A13" s="103"/>
      <c r="B13" s="103"/>
      <c r="C13" s="103"/>
      <c r="D13" s="103"/>
      <c r="E13" s="103"/>
      <c r="F13" s="103"/>
      <c r="G13" s="103"/>
      <c r="H13" s="103"/>
      <c r="I13" s="103"/>
    </row>
    <row r="14" spans="1:9" ht="20.100000000000001" customHeight="1">
      <c r="A14" s="103"/>
      <c r="B14" s="103"/>
      <c r="C14" s="103"/>
      <c r="D14" s="103"/>
      <c r="E14" s="103"/>
      <c r="F14" s="103"/>
      <c r="G14" s="103"/>
      <c r="H14" s="103"/>
      <c r="I14" s="103"/>
    </row>
    <row r="15" spans="1:9" ht="20.100000000000001" customHeight="1">
      <c r="A15" s="103"/>
      <c r="B15" s="103"/>
      <c r="C15" s="103"/>
      <c r="D15" s="103"/>
      <c r="E15" s="103"/>
      <c r="F15" s="103"/>
      <c r="G15" s="103"/>
      <c r="H15" s="103"/>
      <c r="I15" s="103"/>
    </row>
    <row r="16" spans="1:9" ht="20.100000000000001" customHeight="1">
      <c r="A16" s="103"/>
      <c r="B16" s="103"/>
      <c r="C16" s="103"/>
      <c r="D16" s="103"/>
      <c r="E16" s="103"/>
      <c r="F16" s="103"/>
      <c r="G16" s="103"/>
      <c r="H16" s="103"/>
      <c r="I16" s="103"/>
    </row>
    <row r="17" spans="1:9" ht="20.100000000000001" customHeight="1">
      <c r="A17" s="103"/>
      <c r="B17" s="103"/>
      <c r="C17" s="103"/>
      <c r="D17" s="103"/>
      <c r="E17" s="103"/>
      <c r="F17" s="103"/>
      <c r="G17" s="103"/>
      <c r="H17" s="103"/>
      <c r="I17" s="103"/>
    </row>
    <row r="18" spans="1:9" ht="20.100000000000001" customHeight="1">
      <c r="A18" s="103"/>
      <c r="B18" s="103"/>
      <c r="C18" s="103"/>
      <c r="D18" s="103"/>
      <c r="E18" s="103"/>
      <c r="F18" s="103"/>
      <c r="G18" s="103"/>
      <c r="H18" s="103"/>
      <c r="I18" s="103"/>
    </row>
    <row r="19" spans="1:9" ht="20.100000000000001" customHeight="1">
      <c r="A19" s="103"/>
      <c r="B19" s="103"/>
      <c r="C19" s="103"/>
      <c r="D19" s="103"/>
      <c r="E19" s="103"/>
      <c r="F19" s="103"/>
      <c r="G19" s="103"/>
      <c r="H19" s="103"/>
      <c r="I19" s="103"/>
    </row>
    <row r="20" spans="1:9" ht="20.100000000000001" customHeight="1">
      <c r="A20" s="103"/>
      <c r="B20" s="103"/>
      <c r="C20" s="103"/>
      <c r="D20" s="103"/>
      <c r="E20" s="103"/>
      <c r="F20" s="103"/>
      <c r="G20" s="103"/>
      <c r="H20" s="103"/>
      <c r="I20" s="103"/>
    </row>
    <row r="21" spans="1:9" ht="20.100000000000001" customHeight="1">
      <c r="A21" s="103"/>
      <c r="B21" s="103"/>
      <c r="C21" s="103"/>
      <c r="D21" s="103"/>
      <c r="E21" s="103"/>
      <c r="F21" s="103"/>
      <c r="G21" s="103"/>
      <c r="H21" s="103"/>
      <c r="I21" s="103"/>
    </row>
    <row r="22" spans="1:9" ht="20.100000000000001" customHeight="1">
      <c r="A22" s="103"/>
      <c r="B22" s="103"/>
      <c r="C22" s="103"/>
      <c r="D22" s="103"/>
      <c r="E22" s="103"/>
      <c r="F22" s="103"/>
      <c r="G22" s="103"/>
      <c r="H22" s="103"/>
      <c r="I22" s="103"/>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FF00"/>
    <pageSetUpPr fitToPage="1"/>
  </sheetPr>
  <dimension ref="A1:BY153"/>
  <sheetViews>
    <sheetView topLeftCell="F1" zoomScaleNormal="100" workbookViewId="0">
      <pane ySplit="1" topLeftCell="A20" activePane="bottomLeft" state="frozen"/>
      <selection activeCell="I2" sqref="I2"/>
      <selection pane="bottomLeft" activeCell="T2" sqref="T2:U51"/>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190"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3" width="8.73046875" style="1" customWidth="1"/>
    <col min="34" max="34" width="12.1328125" style="1" customWidth="1"/>
    <col min="35" max="35" width="12.19921875" style="1" customWidth="1"/>
    <col min="36" max="36" width="22.1328125" style="1" customWidth="1"/>
    <col min="37" max="77" width="9.1328125" style="1" customWidth="1"/>
  </cols>
  <sheetData>
    <row r="1" spans="1:77" s="214" customFormat="1" ht="16.5" customHeight="1">
      <c r="A1" s="364" t="s">
        <v>29</v>
      </c>
      <c r="B1" s="206"/>
      <c r="C1" s="202" t="s">
        <v>7</v>
      </c>
      <c r="D1" s="207" t="s">
        <v>8</v>
      </c>
      <c r="E1" s="205" t="s">
        <v>9</v>
      </c>
      <c r="F1" s="134" t="s">
        <v>15</v>
      </c>
      <c r="G1" s="206" t="s">
        <v>11</v>
      </c>
      <c r="H1" s="205" t="s">
        <v>10</v>
      </c>
      <c r="I1" s="208" t="s">
        <v>131</v>
      </c>
      <c r="J1" s="209" t="s">
        <v>160</v>
      </c>
      <c r="K1" s="209" t="s">
        <v>161</v>
      </c>
      <c r="L1" s="209" t="s">
        <v>162</v>
      </c>
      <c r="M1" s="210" t="s">
        <v>0</v>
      </c>
      <c r="N1" s="210" t="s">
        <v>1</v>
      </c>
      <c r="O1" s="210" t="s">
        <v>2</v>
      </c>
      <c r="P1" s="210" t="s">
        <v>3</v>
      </c>
      <c r="Q1" s="210" t="s">
        <v>4</v>
      </c>
      <c r="R1" s="210" t="s">
        <v>5</v>
      </c>
      <c r="S1" s="211" t="s">
        <v>12</v>
      </c>
      <c r="T1" s="211" t="s">
        <v>6</v>
      </c>
      <c r="U1" s="210" t="s">
        <v>14</v>
      </c>
      <c r="V1" s="115" t="s">
        <v>131</v>
      </c>
      <c r="W1" s="210" t="s">
        <v>15</v>
      </c>
      <c r="X1" s="212" t="s">
        <v>163</v>
      </c>
      <c r="Y1" s="213" t="s">
        <v>164</v>
      </c>
      <c r="Z1" s="213" t="s">
        <v>165</v>
      </c>
      <c r="AA1" s="213" t="s">
        <v>166</v>
      </c>
      <c r="AB1" s="210" t="s">
        <v>0</v>
      </c>
      <c r="AC1" s="210" t="s">
        <v>1</v>
      </c>
      <c r="AD1" s="210" t="s">
        <v>2</v>
      </c>
      <c r="AE1" s="210" t="s">
        <v>3</v>
      </c>
      <c r="AF1" s="210" t="s">
        <v>4</v>
      </c>
      <c r="AG1" s="210" t="s">
        <v>5</v>
      </c>
      <c r="AH1" s="211" t="s">
        <v>12</v>
      </c>
      <c r="AI1" s="211" t="s">
        <v>6</v>
      </c>
      <c r="AJ1" s="206"/>
      <c r="AK1" s="206" t="s">
        <v>487</v>
      </c>
      <c r="AL1" s="206"/>
      <c r="AM1" s="206"/>
      <c r="AN1" s="206"/>
      <c r="AO1" s="206"/>
      <c r="AP1" s="206"/>
      <c r="AQ1" s="206"/>
      <c r="AR1" s="206"/>
      <c r="AS1" s="206"/>
      <c r="AT1" s="206"/>
      <c r="AU1" s="206"/>
      <c r="AV1" s="206"/>
      <c r="AW1" s="206"/>
      <c r="AX1" s="206"/>
      <c r="AY1" s="206"/>
      <c r="AZ1" s="206"/>
      <c r="BA1" s="206"/>
      <c r="BB1" s="206"/>
      <c r="BC1" s="206"/>
      <c r="BD1" s="206"/>
      <c r="BE1" s="206"/>
      <c r="BF1" s="206"/>
      <c r="BG1" s="206"/>
      <c r="BH1" s="206"/>
      <c r="BI1" s="206"/>
      <c r="BJ1" s="206"/>
      <c r="BK1" s="206"/>
      <c r="BL1" s="206"/>
      <c r="BM1" s="206"/>
      <c r="BN1" s="206"/>
      <c r="BO1" s="206"/>
      <c r="BP1" s="206"/>
      <c r="BQ1" s="206"/>
      <c r="BR1" s="206"/>
      <c r="BS1" s="206"/>
      <c r="BT1" s="206"/>
      <c r="BU1" s="206"/>
      <c r="BV1" s="206"/>
      <c r="BW1" s="206"/>
      <c r="BX1" s="206"/>
      <c r="BY1" s="206"/>
    </row>
    <row r="2" spans="1:77">
      <c r="A2" s="3">
        <v>1</v>
      </c>
      <c r="B2" s="181" t="str">
        <f>$V2</f>
        <v>Alan Bond</v>
      </c>
      <c r="C2" s="180" t="str">
        <f>Picks!B2</f>
        <v>Shrewsbury draw</v>
      </c>
      <c r="D2" s="181">
        <f>Picks!C2</f>
        <v>6</v>
      </c>
      <c r="E2" s="181">
        <f>Picks!D2</f>
        <v>3.5</v>
      </c>
      <c r="F2" s="180">
        <f>IF(C2="","",INDEX(Odds!K:K,MATCH(C2,Odds!G:G,0)))</f>
        <v>1</v>
      </c>
      <c r="G2" s="180">
        <f>IF(C2="","",Picks!M2)</f>
        <v>1</v>
      </c>
      <c r="H2" s="181">
        <f t="shared" ref="H2:H33" si="0">IF(C2="","",+((E2-1)*G2*F2*A$2))</f>
        <v>2.5</v>
      </c>
      <c r="I2" s="191" t="str">
        <f t="shared" ref="I2:I33" si="1">V2</f>
        <v>Alan Bond</v>
      </c>
      <c r="J2" s="179">
        <f>H2</f>
        <v>2.5</v>
      </c>
      <c r="K2" s="179">
        <f>H3</f>
        <v>0</v>
      </c>
      <c r="L2" s="179">
        <f>H4</f>
        <v>0</v>
      </c>
      <c r="M2" s="179">
        <f t="shared" ref="M2:M33" si="2">IF(J2=0,0,1)+J2</f>
        <v>3.5</v>
      </c>
      <c r="N2" s="179">
        <f t="shared" ref="N2:N33" si="3">IF(K2=0,0,1)+K2</f>
        <v>0</v>
      </c>
      <c r="O2" s="179">
        <f t="shared" ref="O2:O33" si="4">IF(L2=0,0,1)+L2</f>
        <v>0</v>
      </c>
      <c r="P2" s="179">
        <f t="shared" ref="P2:P33" si="5">IF(K2=0,0,(M2*K2)+M2)</f>
        <v>0</v>
      </c>
      <c r="Q2" s="179">
        <f t="shared" ref="Q2:Q33" si="6">IF(L2=0,0,(N2*L2)+N2)</f>
        <v>0</v>
      </c>
      <c r="R2" s="179">
        <f t="shared" ref="R2:R33" si="7">IF(J2=0,0,(O2*J2)+O2)</f>
        <v>0</v>
      </c>
      <c r="S2" s="179">
        <f t="shared" ref="S2:S33" si="8">IF(L2=0,0,(P2*L2)+P2)</f>
        <v>0</v>
      </c>
      <c r="T2" s="179">
        <f t="shared" ref="T2:T33" si="9">SUM(M2:S2)-(IF(W2=1,A$2*1,0))-(IF(W2=2,A$2*3,0))-(IF(W2=3,A$2*7,0))</f>
        <v>-3.5</v>
      </c>
      <c r="U2" s="148">
        <f>SUM(G2:G4)</f>
        <v>1</v>
      </c>
      <c r="V2" s="117" t="s">
        <v>505</v>
      </c>
      <c r="W2" s="148">
        <f>SUM(F2:F4)</f>
        <v>3</v>
      </c>
      <c r="X2" s="181">
        <f t="shared" ref="X2:X33" si="10">+((E2-1)*F2*A$2)</f>
        <v>2.5</v>
      </c>
      <c r="Y2" s="179">
        <f>X2</f>
        <v>2.5</v>
      </c>
      <c r="Z2" s="179">
        <f>X3</f>
        <v>2.6</v>
      </c>
      <c r="AA2" s="179">
        <f>X4</f>
        <v>2.9</v>
      </c>
      <c r="AB2" s="179">
        <f t="shared" ref="AB2:AB33" si="11">IF(Y2=0,0,1)+Y2</f>
        <v>3.5</v>
      </c>
      <c r="AC2" s="185">
        <f t="shared" ref="AC2:AC33" si="12">IF(Z2=0,0,1)+Z2</f>
        <v>3.6</v>
      </c>
      <c r="AD2" s="179">
        <f t="shared" ref="AD2:AD33" si="13">IF(AA2=0,0,1)+AA2</f>
        <v>3.9</v>
      </c>
      <c r="AE2" s="179">
        <f t="shared" ref="AE2:AE33" si="14">IF(Z2=0,0,(AB2*Z2)+AB2)</f>
        <v>12.6</v>
      </c>
      <c r="AF2" s="179">
        <f t="shared" ref="AF2:AF33" si="15">IF(AA2=0,0,(AC2*AA2)+AC2)</f>
        <v>14.04</v>
      </c>
      <c r="AG2" s="179">
        <f t="shared" ref="AG2:AG33" si="16">IF(Y2=0,0,(AD2*Y2)+AD2)</f>
        <v>13.65</v>
      </c>
      <c r="AH2" s="179">
        <f t="shared" ref="AH2:AH33" si="17">IF(AA2=0,0,(AE2*AA2)+AE2)</f>
        <v>49.14</v>
      </c>
      <c r="AI2" s="179">
        <f t="shared" ref="AI2:AI33" si="18">SUM(AB2:AH2)-AK2</f>
        <v>93.43</v>
      </c>
      <c r="AJ2" s="192" t="str">
        <f t="shared" ref="AJ2:AJ33" si="19">$V2</f>
        <v>Alan Bond</v>
      </c>
      <c r="AK2" s="1">
        <f t="shared" ref="AK2:AK33" si="20">IF(W2=3,7,IF(W2=2,3,1))</f>
        <v>7</v>
      </c>
    </row>
    <row r="3" spans="1:77">
      <c r="B3" s="180"/>
      <c r="C3" s="180" t="str">
        <f>Picks!B3</f>
        <v>Accrington draw</v>
      </c>
      <c r="D3" s="181">
        <f>Picks!C3</f>
        <v>6</v>
      </c>
      <c r="E3" s="181">
        <f>Picks!D3</f>
        <v>3.6</v>
      </c>
      <c r="F3" s="180">
        <f>IF(C3="","",INDEX(Odds!K:K,MATCH(C3,Odds!G:G,0)))</f>
        <v>1</v>
      </c>
      <c r="G3" s="180">
        <f>IF(C3="","",Picks!M3)</f>
        <v>0</v>
      </c>
      <c r="H3" s="181">
        <f t="shared" si="0"/>
        <v>0</v>
      </c>
      <c r="I3" s="191" t="str">
        <f t="shared" si="1"/>
        <v>Alan Rogers</v>
      </c>
      <c r="J3" s="179">
        <f>H5</f>
        <v>2.4</v>
      </c>
      <c r="K3" s="179">
        <f>H6</f>
        <v>0</v>
      </c>
      <c r="L3" s="179">
        <f>H7</f>
        <v>0</v>
      </c>
      <c r="M3" s="179">
        <f t="shared" si="2"/>
        <v>3.4</v>
      </c>
      <c r="N3" s="179">
        <f t="shared" si="3"/>
        <v>0</v>
      </c>
      <c r="O3" s="179">
        <f t="shared" si="4"/>
        <v>0</v>
      </c>
      <c r="P3" s="179">
        <f t="shared" si="5"/>
        <v>0</v>
      </c>
      <c r="Q3" s="179">
        <f t="shared" si="6"/>
        <v>0</v>
      </c>
      <c r="R3" s="179">
        <f t="shared" si="7"/>
        <v>0</v>
      </c>
      <c r="S3" s="179">
        <f t="shared" si="8"/>
        <v>0</v>
      </c>
      <c r="T3" s="179">
        <f t="shared" si="9"/>
        <v>-3.6</v>
      </c>
      <c r="U3" s="148">
        <f>SUM(G5:G7)</f>
        <v>1</v>
      </c>
      <c r="V3" s="117" t="s">
        <v>289</v>
      </c>
      <c r="W3" s="148">
        <f>SUM(F5:F7)</f>
        <v>3</v>
      </c>
      <c r="X3" s="181">
        <f t="shared" si="10"/>
        <v>2.6</v>
      </c>
      <c r="Y3" s="179">
        <f>X5</f>
        <v>2.4</v>
      </c>
      <c r="Z3" s="179">
        <f>X6</f>
        <v>2.5</v>
      </c>
      <c r="AA3" s="179">
        <f>X7</f>
        <v>1.75</v>
      </c>
      <c r="AB3" s="179">
        <f t="shared" si="11"/>
        <v>3.4</v>
      </c>
      <c r="AC3" s="185">
        <f t="shared" si="12"/>
        <v>3.5</v>
      </c>
      <c r="AD3" s="179">
        <f t="shared" si="13"/>
        <v>2.75</v>
      </c>
      <c r="AE3" s="179">
        <f t="shared" si="14"/>
        <v>11.9</v>
      </c>
      <c r="AF3" s="179">
        <f t="shared" si="15"/>
        <v>9.625</v>
      </c>
      <c r="AG3" s="179">
        <f t="shared" si="16"/>
        <v>9.35</v>
      </c>
      <c r="AH3" s="179">
        <f t="shared" si="17"/>
        <v>32.725000000000001</v>
      </c>
      <c r="AI3" s="179">
        <f t="shared" si="18"/>
        <v>66.25</v>
      </c>
      <c r="AJ3" s="192" t="str">
        <f t="shared" si="19"/>
        <v>Alan Rogers</v>
      </c>
      <c r="AK3" s="1">
        <f t="shared" si="20"/>
        <v>7</v>
      </c>
    </row>
    <row r="4" spans="1:77" ht="13.15" thickBot="1">
      <c r="B4" s="182"/>
      <c r="C4" s="182" t="str">
        <f>Picks!B4</f>
        <v>Swindon draw</v>
      </c>
      <c r="D4" s="183">
        <f>Picks!C4</f>
        <v>6</v>
      </c>
      <c r="E4" s="183">
        <f>Picks!D4</f>
        <v>3.9</v>
      </c>
      <c r="F4" s="182">
        <f>IF(C4="","",INDEX(Odds!K:K,MATCH(C4,Odds!G:G,0)))</f>
        <v>1</v>
      </c>
      <c r="G4" s="182">
        <f>IF(C4="","",Picks!M4)</f>
        <v>0</v>
      </c>
      <c r="H4" s="183">
        <f t="shared" si="0"/>
        <v>0</v>
      </c>
      <c r="I4" s="191" t="str">
        <f t="shared" si="1"/>
        <v>Alan White</v>
      </c>
      <c r="J4" s="179">
        <f>H8</f>
        <v>0</v>
      </c>
      <c r="K4" s="179">
        <f>H9</f>
        <v>1.1000000000000001</v>
      </c>
      <c r="L4" s="179">
        <f>H10</f>
        <v>0</v>
      </c>
      <c r="M4" s="179">
        <f t="shared" si="2"/>
        <v>0</v>
      </c>
      <c r="N4" s="179">
        <f t="shared" si="3"/>
        <v>2.1</v>
      </c>
      <c r="O4" s="179">
        <f t="shared" si="4"/>
        <v>0</v>
      </c>
      <c r="P4" s="179">
        <f t="shared" si="5"/>
        <v>0</v>
      </c>
      <c r="Q4" s="179">
        <f t="shared" si="6"/>
        <v>0</v>
      </c>
      <c r="R4" s="179">
        <f t="shared" si="7"/>
        <v>0</v>
      </c>
      <c r="S4" s="179">
        <f t="shared" si="8"/>
        <v>0</v>
      </c>
      <c r="T4" s="179">
        <f t="shared" si="9"/>
        <v>-4.9000000000000004</v>
      </c>
      <c r="U4" s="148">
        <f>SUM(G8:G10)</f>
        <v>1</v>
      </c>
      <c r="V4" s="120" t="s">
        <v>435</v>
      </c>
      <c r="W4" s="148">
        <f>SUM(F8:F10)</f>
        <v>3</v>
      </c>
      <c r="X4" s="181">
        <f t="shared" si="10"/>
        <v>2.9</v>
      </c>
      <c r="Y4" s="179">
        <f>X8</f>
        <v>0.83333333333333348</v>
      </c>
      <c r="Z4" s="179">
        <f>X9</f>
        <v>1.1000000000000001</v>
      </c>
      <c r="AA4" s="179">
        <f>X10</f>
        <v>1.2000000000000002</v>
      </c>
      <c r="AB4" s="179">
        <f t="shared" si="11"/>
        <v>1.8333333333333335</v>
      </c>
      <c r="AC4" s="185">
        <f t="shared" si="12"/>
        <v>2.1</v>
      </c>
      <c r="AD4" s="179">
        <f t="shared" si="13"/>
        <v>2.2000000000000002</v>
      </c>
      <c r="AE4" s="179">
        <f t="shared" si="14"/>
        <v>3.8500000000000005</v>
      </c>
      <c r="AF4" s="179">
        <f t="shared" si="15"/>
        <v>4.620000000000001</v>
      </c>
      <c r="AG4" s="179">
        <f t="shared" si="16"/>
        <v>4.0333333333333341</v>
      </c>
      <c r="AH4" s="179">
        <f t="shared" si="17"/>
        <v>8.4700000000000024</v>
      </c>
      <c r="AI4" s="179">
        <f t="shared" si="18"/>
        <v>20.106666666666673</v>
      </c>
      <c r="AJ4" s="192" t="str">
        <f t="shared" si="19"/>
        <v>Alan White</v>
      </c>
      <c r="AK4" s="1">
        <f t="shared" si="20"/>
        <v>7</v>
      </c>
    </row>
    <row r="5" spans="1:77">
      <c r="B5" s="180" t="str">
        <f>$V3</f>
        <v>Alan Rogers</v>
      </c>
      <c r="C5" s="180" t="str">
        <f>Picks!B5</f>
        <v>Exeter draw</v>
      </c>
      <c r="D5" s="181">
        <f>Picks!C5</f>
        <v>6</v>
      </c>
      <c r="E5" s="181">
        <f>Picks!D5</f>
        <v>3.4</v>
      </c>
      <c r="F5" s="180">
        <f>IF(C5="","",INDEX(Odds!K:K,MATCH(C5,Odds!G:G,0)))</f>
        <v>1</v>
      </c>
      <c r="G5" s="180">
        <f>IF(C5="","",Picks!M5)</f>
        <v>1</v>
      </c>
      <c r="H5" s="181">
        <f t="shared" si="0"/>
        <v>2.4</v>
      </c>
      <c r="I5" s="191" t="str">
        <f t="shared" si="1"/>
        <v>Alex Griffin</v>
      </c>
      <c r="J5" s="179">
        <f>H11</f>
        <v>0</v>
      </c>
      <c r="K5" s="179">
        <f>H12</f>
        <v>0</v>
      </c>
      <c r="L5" s="179">
        <f>H13</f>
        <v>0</v>
      </c>
      <c r="M5" s="179">
        <f t="shared" si="2"/>
        <v>0</v>
      </c>
      <c r="N5" s="179">
        <f t="shared" si="3"/>
        <v>0</v>
      </c>
      <c r="O5" s="179">
        <f t="shared" si="4"/>
        <v>0</v>
      </c>
      <c r="P5" s="179">
        <f t="shared" si="5"/>
        <v>0</v>
      </c>
      <c r="Q5" s="179">
        <f t="shared" si="6"/>
        <v>0</v>
      </c>
      <c r="R5" s="179">
        <f t="shared" si="7"/>
        <v>0</v>
      </c>
      <c r="S5" s="179">
        <f t="shared" si="8"/>
        <v>0</v>
      </c>
      <c r="T5" s="179">
        <f t="shared" si="9"/>
        <v>-7</v>
      </c>
      <c r="U5" s="148">
        <f>SUM(G11:G13)</f>
        <v>0</v>
      </c>
      <c r="V5" s="117" t="s">
        <v>527</v>
      </c>
      <c r="W5" s="148">
        <f>SUM(F11:F13)</f>
        <v>3</v>
      </c>
      <c r="X5" s="181">
        <f t="shared" si="10"/>
        <v>2.4</v>
      </c>
      <c r="Y5" s="179">
        <f>X11</f>
        <v>2.2000000000000002</v>
      </c>
      <c r="Z5" s="179">
        <f>X12</f>
        <v>0.28571428571428559</v>
      </c>
      <c r="AA5" s="179">
        <f>X13</f>
        <v>9</v>
      </c>
      <c r="AB5" s="179">
        <f t="shared" si="11"/>
        <v>3.2</v>
      </c>
      <c r="AC5" s="185">
        <f t="shared" si="12"/>
        <v>1.2857142857142856</v>
      </c>
      <c r="AD5" s="179">
        <f t="shared" si="13"/>
        <v>10</v>
      </c>
      <c r="AE5" s="179">
        <f t="shared" si="14"/>
        <v>4.1142857142857139</v>
      </c>
      <c r="AF5" s="179">
        <f t="shared" si="15"/>
        <v>12.857142857142854</v>
      </c>
      <c r="AG5" s="179">
        <f t="shared" si="16"/>
        <v>32</v>
      </c>
      <c r="AH5" s="179">
        <f t="shared" si="17"/>
        <v>41.142857142857139</v>
      </c>
      <c r="AI5" s="179">
        <f t="shared" si="18"/>
        <v>97.6</v>
      </c>
      <c r="AJ5" s="192" t="str">
        <f t="shared" si="19"/>
        <v>Alex Griffin</v>
      </c>
      <c r="AK5" s="1">
        <f t="shared" si="20"/>
        <v>7</v>
      </c>
    </row>
    <row r="6" spans="1:77">
      <c r="B6" s="180"/>
      <c r="C6" s="180" t="str">
        <f>Picks!B6</f>
        <v>Tranmere</v>
      </c>
      <c r="D6" s="181">
        <f>Picks!C6</f>
        <v>6</v>
      </c>
      <c r="E6" s="181">
        <f>Picks!D6</f>
        <v>3.5</v>
      </c>
      <c r="F6" s="180">
        <f>IF(C6="","",INDEX(Odds!K:K,MATCH(C6,Odds!G:G,0)))</f>
        <v>1</v>
      </c>
      <c r="G6" s="180">
        <f>IF(C6="","",Picks!M6)</f>
        <v>0</v>
      </c>
      <c r="H6" s="181">
        <f t="shared" si="0"/>
        <v>0</v>
      </c>
      <c r="I6" s="191" t="str">
        <f t="shared" si="1"/>
        <v>Alfie Davies</v>
      </c>
      <c r="J6" s="179">
        <f>H14</f>
        <v>0</v>
      </c>
      <c r="K6" s="179">
        <f>H15</f>
        <v>0</v>
      </c>
      <c r="L6" s="179">
        <f>H16</f>
        <v>0</v>
      </c>
      <c r="M6" s="179">
        <f t="shared" si="2"/>
        <v>0</v>
      </c>
      <c r="N6" s="179">
        <f t="shared" si="3"/>
        <v>0</v>
      </c>
      <c r="O6" s="179">
        <f t="shared" si="4"/>
        <v>0</v>
      </c>
      <c r="P6" s="179">
        <f t="shared" si="5"/>
        <v>0</v>
      </c>
      <c r="Q6" s="179">
        <f t="shared" si="6"/>
        <v>0</v>
      </c>
      <c r="R6" s="179">
        <f t="shared" si="7"/>
        <v>0</v>
      </c>
      <c r="S6" s="179">
        <f t="shared" si="8"/>
        <v>0</v>
      </c>
      <c r="T6" s="179">
        <f t="shared" si="9"/>
        <v>-7</v>
      </c>
      <c r="U6" s="148">
        <f>SUM(G14:G16)</f>
        <v>0</v>
      </c>
      <c r="V6" s="117" t="s">
        <v>366</v>
      </c>
      <c r="W6" s="148">
        <f>SUM(F14:F16)</f>
        <v>3</v>
      </c>
      <c r="X6" s="181">
        <f t="shared" si="10"/>
        <v>2.5</v>
      </c>
      <c r="Y6" s="179">
        <f>X14</f>
        <v>0.8</v>
      </c>
      <c r="Z6" s="179">
        <f>X15</f>
        <v>0.61538461538461542</v>
      </c>
      <c r="AA6" s="179">
        <f>X16</f>
        <v>0.7</v>
      </c>
      <c r="AB6" s="179">
        <f t="shared" si="11"/>
        <v>1.8</v>
      </c>
      <c r="AC6" s="185">
        <f t="shared" si="12"/>
        <v>1.6153846153846154</v>
      </c>
      <c r="AD6" s="179">
        <f t="shared" si="13"/>
        <v>1.7</v>
      </c>
      <c r="AE6" s="179">
        <f t="shared" si="14"/>
        <v>2.907692307692308</v>
      </c>
      <c r="AF6" s="179">
        <f t="shared" si="15"/>
        <v>2.7461538461538462</v>
      </c>
      <c r="AG6" s="179">
        <f t="shared" si="16"/>
        <v>3.06</v>
      </c>
      <c r="AH6" s="179">
        <f t="shared" si="17"/>
        <v>4.9430769230769229</v>
      </c>
      <c r="AI6" s="179">
        <f t="shared" si="18"/>
        <v>11.772307692307692</v>
      </c>
      <c r="AJ6" s="192" t="str">
        <f t="shared" si="19"/>
        <v>Alfie Davies</v>
      </c>
      <c r="AK6" s="1">
        <f t="shared" si="20"/>
        <v>7</v>
      </c>
    </row>
    <row r="7" spans="1:77" ht="13.15" thickBot="1">
      <c r="B7" s="182"/>
      <c r="C7" s="182" t="str">
        <f>Picks!B7</f>
        <v>Mansfield</v>
      </c>
      <c r="D7" s="183">
        <f>Picks!C7</f>
        <v>6</v>
      </c>
      <c r="E7" s="183">
        <f>Picks!D7</f>
        <v>2.75</v>
      </c>
      <c r="F7" s="182">
        <f>IF(C7="","",INDEX(Odds!K:K,MATCH(C7,Odds!G:G,0)))</f>
        <v>1</v>
      </c>
      <c r="G7" s="182">
        <f>IF(C7="","",Picks!M7)</f>
        <v>0</v>
      </c>
      <c r="H7" s="183">
        <f t="shared" si="0"/>
        <v>0</v>
      </c>
      <c r="I7" s="191" t="str">
        <f t="shared" si="1"/>
        <v>Alick Rocca</v>
      </c>
      <c r="J7" s="179">
        <f>H17</f>
        <v>0.64999999999999991</v>
      </c>
      <c r="K7" s="179">
        <f>H18</f>
        <v>0</v>
      </c>
      <c r="L7" s="179">
        <f>H19</f>
        <v>0</v>
      </c>
      <c r="M7" s="179">
        <f t="shared" si="2"/>
        <v>1.65</v>
      </c>
      <c r="N7" s="179">
        <f t="shared" si="3"/>
        <v>0</v>
      </c>
      <c r="O7" s="179">
        <f t="shared" si="4"/>
        <v>0</v>
      </c>
      <c r="P7" s="179">
        <f t="shared" si="5"/>
        <v>0</v>
      </c>
      <c r="Q7" s="179">
        <f t="shared" si="6"/>
        <v>0</v>
      </c>
      <c r="R7" s="179">
        <f t="shared" si="7"/>
        <v>0</v>
      </c>
      <c r="S7" s="179">
        <f t="shared" si="8"/>
        <v>0</v>
      </c>
      <c r="T7" s="179">
        <f t="shared" si="9"/>
        <v>-5.35</v>
      </c>
      <c r="U7" s="148">
        <f>SUM(G17:G19)</f>
        <v>1</v>
      </c>
      <c r="V7" s="120" t="s">
        <v>308</v>
      </c>
      <c r="W7" s="148">
        <f>SUM(F17:F19)</f>
        <v>3</v>
      </c>
      <c r="X7" s="181">
        <f t="shared" si="10"/>
        <v>1.75</v>
      </c>
      <c r="Y7" s="179">
        <f>X17</f>
        <v>0.64999999999999991</v>
      </c>
      <c r="Z7" s="179">
        <f>X18</f>
        <v>2.2999999999999998</v>
      </c>
      <c r="AA7" s="179">
        <f>X19</f>
        <v>0.28571428571428559</v>
      </c>
      <c r="AB7" s="179">
        <f t="shared" si="11"/>
        <v>1.65</v>
      </c>
      <c r="AC7" s="185">
        <f t="shared" si="12"/>
        <v>3.3</v>
      </c>
      <c r="AD7" s="179">
        <f t="shared" si="13"/>
        <v>1.2857142857142856</v>
      </c>
      <c r="AE7" s="179">
        <f t="shared" si="14"/>
        <v>5.4449999999999994</v>
      </c>
      <c r="AF7" s="179">
        <f t="shared" si="15"/>
        <v>4.242857142857142</v>
      </c>
      <c r="AG7" s="179">
        <f t="shared" si="16"/>
        <v>2.121428571428571</v>
      </c>
      <c r="AH7" s="179">
        <f t="shared" si="17"/>
        <v>7.0007142857142846</v>
      </c>
      <c r="AI7" s="179">
        <f t="shared" si="18"/>
        <v>18.045714285714283</v>
      </c>
      <c r="AJ7" s="192" t="str">
        <f t="shared" si="19"/>
        <v>Alick Rocca</v>
      </c>
      <c r="AK7" s="1">
        <f t="shared" si="20"/>
        <v>7</v>
      </c>
    </row>
    <row r="8" spans="1:77">
      <c r="B8" s="180" t="str">
        <f>$V4</f>
        <v>Alan White</v>
      </c>
      <c r="C8" s="180" t="str">
        <f>Picks!B8</f>
        <v>Man C</v>
      </c>
      <c r="D8" s="181">
        <f>Picks!C8</f>
        <v>1</v>
      </c>
      <c r="E8" s="181">
        <f>Picks!D8</f>
        <v>1.8333333333333335</v>
      </c>
      <c r="F8" s="180">
        <f>IF(C8="","",INDEX(Odds!K:K,MATCH(C8,Odds!G:G,0)))</f>
        <v>1</v>
      </c>
      <c r="G8" s="180">
        <f>IF(C8="","",Picks!M8)</f>
        <v>0</v>
      </c>
      <c r="H8" s="181">
        <f t="shared" si="0"/>
        <v>0</v>
      </c>
      <c r="I8" s="191" t="str">
        <f t="shared" si="1"/>
        <v>Andy White</v>
      </c>
      <c r="J8" s="179">
        <f>H20</f>
        <v>1.1000000000000001</v>
      </c>
      <c r="K8" s="179">
        <f>H21</f>
        <v>0</v>
      </c>
      <c r="L8" s="179">
        <f>H22</f>
        <v>0.85000000000000009</v>
      </c>
      <c r="M8" s="179">
        <f t="shared" si="2"/>
        <v>2.1</v>
      </c>
      <c r="N8" s="179">
        <f t="shared" si="3"/>
        <v>0</v>
      </c>
      <c r="O8" s="179">
        <f t="shared" si="4"/>
        <v>1.85</v>
      </c>
      <c r="P8" s="179">
        <f t="shared" si="5"/>
        <v>0</v>
      </c>
      <c r="Q8" s="179">
        <f t="shared" si="6"/>
        <v>0</v>
      </c>
      <c r="R8" s="179">
        <f t="shared" si="7"/>
        <v>3.8850000000000002</v>
      </c>
      <c r="S8" s="179">
        <f t="shared" si="8"/>
        <v>0</v>
      </c>
      <c r="T8" s="179">
        <f t="shared" si="9"/>
        <v>0.83500000000000085</v>
      </c>
      <c r="U8" s="148">
        <f>SUM(G20:G22)</f>
        <v>2</v>
      </c>
      <c r="V8" s="120" t="s">
        <v>279</v>
      </c>
      <c r="W8" s="148">
        <f>SUM(F20:F22)</f>
        <v>3</v>
      </c>
      <c r="X8" s="181">
        <f t="shared" si="10"/>
        <v>0.83333333333333348</v>
      </c>
      <c r="Y8" s="179">
        <f>X20</f>
        <v>1.1000000000000001</v>
      </c>
      <c r="Z8" s="179">
        <f>X21</f>
        <v>1.2000000000000002</v>
      </c>
      <c r="AA8" s="179">
        <f>X22</f>
        <v>0.85000000000000009</v>
      </c>
      <c r="AB8" s="179">
        <f t="shared" si="11"/>
        <v>2.1</v>
      </c>
      <c r="AC8" s="185">
        <f t="shared" si="12"/>
        <v>2.2000000000000002</v>
      </c>
      <c r="AD8" s="179">
        <f t="shared" si="13"/>
        <v>1.85</v>
      </c>
      <c r="AE8" s="179">
        <f t="shared" si="14"/>
        <v>4.620000000000001</v>
      </c>
      <c r="AF8" s="179">
        <f t="shared" si="15"/>
        <v>4.07</v>
      </c>
      <c r="AG8" s="179">
        <f t="shared" si="16"/>
        <v>3.8850000000000002</v>
      </c>
      <c r="AH8" s="179">
        <f t="shared" si="17"/>
        <v>8.5470000000000024</v>
      </c>
      <c r="AI8" s="179">
        <f t="shared" si="18"/>
        <v>20.272000000000006</v>
      </c>
      <c r="AJ8" s="192" t="str">
        <f t="shared" si="19"/>
        <v>Andy White</v>
      </c>
      <c r="AK8" s="1">
        <f t="shared" si="20"/>
        <v>7</v>
      </c>
    </row>
    <row r="9" spans="1:77">
      <c r="B9" s="180"/>
      <c r="C9" s="180" t="str">
        <f>Picks!B9</f>
        <v>Bournemouth</v>
      </c>
      <c r="D9" s="181">
        <f>Picks!C9</f>
        <v>7</v>
      </c>
      <c r="E9" s="181">
        <f>Picks!D9</f>
        <v>2.1</v>
      </c>
      <c r="F9" s="180">
        <f>IF(C9="","",INDEX(Odds!K:K,MATCH(C9,Odds!G:G,0)))</f>
        <v>1</v>
      </c>
      <c r="G9" s="180">
        <f>IF(C9="","",Picks!M9)</f>
        <v>1</v>
      </c>
      <c r="H9" s="181">
        <f t="shared" si="0"/>
        <v>1.1000000000000001</v>
      </c>
      <c r="I9" s="191" t="str">
        <f t="shared" si="1"/>
        <v>Barry Birchall</v>
      </c>
      <c r="J9" s="179">
        <f>H23</f>
        <v>0.5</v>
      </c>
      <c r="K9" s="179">
        <f>H24</f>
        <v>0</v>
      </c>
      <c r="L9" s="179">
        <f>H25</f>
        <v>0.64999999999999991</v>
      </c>
      <c r="M9" s="179">
        <f t="shared" si="2"/>
        <v>1.5</v>
      </c>
      <c r="N9" s="179">
        <f t="shared" si="3"/>
        <v>0</v>
      </c>
      <c r="O9" s="179">
        <f t="shared" si="4"/>
        <v>1.65</v>
      </c>
      <c r="P9" s="179">
        <f t="shared" si="5"/>
        <v>0</v>
      </c>
      <c r="Q9" s="179">
        <f t="shared" si="6"/>
        <v>0</v>
      </c>
      <c r="R9" s="179">
        <f t="shared" si="7"/>
        <v>2.4749999999999996</v>
      </c>
      <c r="S9" s="179">
        <f t="shared" si="8"/>
        <v>0</v>
      </c>
      <c r="T9" s="179">
        <f t="shared" si="9"/>
        <v>-1.375</v>
      </c>
      <c r="U9" s="148">
        <f>SUM(G23:G25)</f>
        <v>2</v>
      </c>
      <c r="V9" s="120" t="s">
        <v>273</v>
      </c>
      <c r="W9" s="148">
        <f>SUM(F23:F25)</f>
        <v>3</v>
      </c>
      <c r="X9" s="181">
        <f t="shared" si="10"/>
        <v>1.1000000000000001</v>
      </c>
      <c r="Y9" s="179">
        <f>X23</f>
        <v>0.5</v>
      </c>
      <c r="Z9" s="179">
        <f>X24</f>
        <v>0.28571428571428559</v>
      </c>
      <c r="AA9" s="179">
        <f>X25</f>
        <v>0.64999999999999991</v>
      </c>
      <c r="AB9" s="179">
        <f t="shared" si="11"/>
        <v>1.5</v>
      </c>
      <c r="AC9" s="185">
        <f t="shared" si="12"/>
        <v>1.2857142857142856</v>
      </c>
      <c r="AD9" s="179">
        <f t="shared" si="13"/>
        <v>1.65</v>
      </c>
      <c r="AE9" s="179">
        <f t="shared" si="14"/>
        <v>1.9285714285714284</v>
      </c>
      <c r="AF9" s="179">
        <f t="shared" si="15"/>
        <v>2.121428571428571</v>
      </c>
      <c r="AG9" s="179">
        <f t="shared" si="16"/>
        <v>2.4749999999999996</v>
      </c>
      <c r="AH9" s="179">
        <f t="shared" si="17"/>
        <v>3.1821428571428569</v>
      </c>
      <c r="AI9" s="179">
        <f t="shared" si="18"/>
        <v>7.1428571428571406</v>
      </c>
      <c r="AJ9" s="192" t="str">
        <f t="shared" si="19"/>
        <v>Barry Birchall</v>
      </c>
      <c r="AK9" s="1">
        <f t="shared" si="20"/>
        <v>7</v>
      </c>
    </row>
    <row r="10" spans="1:77" ht="13.15" thickBot="1">
      <c r="B10" s="182"/>
      <c r="C10" s="182" t="str">
        <f>Picks!B10</f>
        <v>Forest</v>
      </c>
      <c r="D10" s="183">
        <f>Picks!C10</f>
        <v>7</v>
      </c>
      <c r="E10" s="183">
        <f>Picks!D10</f>
        <v>2.2000000000000002</v>
      </c>
      <c r="F10" s="182">
        <f>IF(C10="","",INDEX(Odds!K:K,MATCH(C10,Odds!G:G,0)))</f>
        <v>1</v>
      </c>
      <c r="G10" s="182">
        <f>IF(C10="","",Picks!M10)</f>
        <v>0</v>
      </c>
      <c r="H10" s="183">
        <f t="shared" si="0"/>
        <v>0</v>
      </c>
      <c r="I10" s="191" t="str">
        <f t="shared" si="1"/>
        <v>Ben Rosser</v>
      </c>
      <c r="J10" s="179">
        <f>H26</f>
        <v>0</v>
      </c>
      <c r="K10" s="179">
        <f>H27</f>
        <v>0</v>
      </c>
      <c r="L10" s="179">
        <f>H28</f>
        <v>0</v>
      </c>
      <c r="M10" s="179">
        <f t="shared" si="2"/>
        <v>0</v>
      </c>
      <c r="N10" s="179">
        <f t="shared" si="3"/>
        <v>0</v>
      </c>
      <c r="O10" s="179">
        <f t="shared" si="4"/>
        <v>0</v>
      </c>
      <c r="P10" s="179">
        <f t="shared" si="5"/>
        <v>0</v>
      </c>
      <c r="Q10" s="179">
        <f t="shared" si="6"/>
        <v>0</v>
      </c>
      <c r="R10" s="179">
        <f t="shared" si="7"/>
        <v>0</v>
      </c>
      <c r="S10" s="179">
        <f t="shared" si="8"/>
        <v>0</v>
      </c>
      <c r="T10" s="179">
        <f t="shared" si="9"/>
        <v>-7</v>
      </c>
      <c r="U10" s="148">
        <f>SUM(G26:G28)</f>
        <v>0</v>
      </c>
      <c r="V10" s="120" t="s">
        <v>358</v>
      </c>
      <c r="W10" s="148">
        <f>SUM(F26:F28)</f>
        <v>3</v>
      </c>
      <c r="X10" s="181">
        <f t="shared" si="10"/>
        <v>1.2000000000000002</v>
      </c>
      <c r="Y10" s="179">
        <f>X26</f>
        <v>1.2000000000000002</v>
      </c>
      <c r="Z10" s="179">
        <f>X27</f>
        <v>2.7</v>
      </c>
      <c r="AA10" s="179">
        <f>X28</f>
        <v>2.8</v>
      </c>
      <c r="AB10" s="179">
        <f t="shared" si="11"/>
        <v>2.2000000000000002</v>
      </c>
      <c r="AC10" s="185">
        <f t="shared" si="12"/>
        <v>3.7</v>
      </c>
      <c r="AD10" s="179">
        <f t="shared" si="13"/>
        <v>3.8</v>
      </c>
      <c r="AE10" s="179">
        <f t="shared" si="14"/>
        <v>8.14</v>
      </c>
      <c r="AF10" s="179">
        <f t="shared" si="15"/>
        <v>14.059999999999999</v>
      </c>
      <c r="AG10" s="179">
        <f t="shared" si="16"/>
        <v>8.36</v>
      </c>
      <c r="AH10" s="179">
        <f t="shared" si="17"/>
        <v>30.932000000000002</v>
      </c>
      <c r="AI10" s="179">
        <f t="shared" si="18"/>
        <v>64.192000000000007</v>
      </c>
      <c r="AJ10" s="192" t="str">
        <f t="shared" si="19"/>
        <v>Ben Rosser</v>
      </c>
      <c r="AK10" s="1">
        <f t="shared" si="20"/>
        <v>7</v>
      </c>
    </row>
    <row r="11" spans="1:77">
      <c r="B11" s="180" t="str">
        <f>$V5</f>
        <v>Alex Griffin</v>
      </c>
      <c r="C11" s="180" t="str">
        <f>Picks!B11</f>
        <v>Everton</v>
      </c>
      <c r="D11" s="181">
        <f>Picks!C11</f>
        <v>7</v>
      </c>
      <c r="E11" s="181">
        <f>Picks!D11</f>
        <v>3.2</v>
      </c>
      <c r="F11" s="180">
        <f>IF(C11="","",INDEX(Odds!K:K,MATCH(C11,Odds!G:G,0)))</f>
        <v>1</v>
      </c>
      <c r="G11" s="180">
        <f>IF(C11="","",Picks!M11)</f>
        <v>0</v>
      </c>
      <c r="H11" s="181">
        <f t="shared" si="0"/>
        <v>0</v>
      </c>
      <c r="I11" s="191" t="str">
        <f t="shared" si="1"/>
        <v>Bob Bailey</v>
      </c>
      <c r="J11" s="179" t="str">
        <f>H29</f>
        <v/>
      </c>
      <c r="K11" s="179" t="str">
        <f>H30</f>
        <v/>
      </c>
      <c r="L11" s="179" t="str">
        <f>H31</f>
        <v/>
      </c>
      <c r="M11" s="179" t="e">
        <f t="shared" si="2"/>
        <v>#VALUE!</v>
      </c>
      <c r="N11" s="179" t="e">
        <f t="shared" si="3"/>
        <v>#VALUE!</v>
      </c>
      <c r="O11" s="179" t="e">
        <f t="shared" si="4"/>
        <v>#VALUE!</v>
      </c>
      <c r="P11" s="179" t="e">
        <f t="shared" si="5"/>
        <v>#VALUE!</v>
      </c>
      <c r="Q11" s="179" t="e">
        <f t="shared" si="6"/>
        <v>#VALUE!</v>
      </c>
      <c r="R11" s="179" t="e">
        <f t="shared" si="7"/>
        <v>#VALUE!</v>
      </c>
      <c r="S11" s="179" t="e">
        <f t="shared" si="8"/>
        <v>#VALUE!</v>
      </c>
      <c r="T11" s="179" t="e">
        <f t="shared" si="9"/>
        <v>#VALUE!</v>
      </c>
      <c r="U11" s="148">
        <f>SUM(G29:G31)</f>
        <v>0</v>
      </c>
      <c r="V11" s="120" t="s">
        <v>507</v>
      </c>
      <c r="W11" s="148">
        <f>SUM(F29:F31)</f>
        <v>0</v>
      </c>
      <c r="X11" s="181">
        <f t="shared" si="10"/>
        <v>2.2000000000000002</v>
      </c>
      <c r="Y11" s="179" t="e">
        <f>X29</f>
        <v>#VALUE!</v>
      </c>
      <c r="Z11" s="179" t="e">
        <f>X30</f>
        <v>#VALUE!</v>
      </c>
      <c r="AA11" s="179" t="e">
        <f>X31</f>
        <v>#VALUE!</v>
      </c>
      <c r="AB11" s="179" t="e">
        <f t="shared" si="11"/>
        <v>#VALUE!</v>
      </c>
      <c r="AC11" s="185" t="e">
        <f t="shared" si="12"/>
        <v>#VALUE!</v>
      </c>
      <c r="AD11" s="179" t="e">
        <f t="shared" si="13"/>
        <v>#VALUE!</v>
      </c>
      <c r="AE11" s="179" t="e">
        <f t="shared" si="14"/>
        <v>#VALUE!</v>
      </c>
      <c r="AF11" s="179" t="e">
        <f t="shared" si="15"/>
        <v>#VALUE!</v>
      </c>
      <c r="AG11" s="179" t="e">
        <f t="shared" si="16"/>
        <v>#VALUE!</v>
      </c>
      <c r="AH11" s="179" t="e">
        <f t="shared" si="17"/>
        <v>#VALUE!</v>
      </c>
      <c r="AI11" s="179" t="e">
        <f t="shared" si="18"/>
        <v>#VALUE!</v>
      </c>
      <c r="AJ11" s="192" t="str">
        <f t="shared" si="19"/>
        <v>Bob Bailey</v>
      </c>
      <c r="AK11" s="1">
        <f t="shared" si="20"/>
        <v>1</v>
      </c>
    </row>
    <row r="12" spans="1:77">
      <c r="B12" s="180"/>
      <c r="C12" s="180" t="str">
        <f>Picks!B12</f>
        <v>Chelsea</v>
      </c>
      <c r="D12" s="181">
        <f>Picks!C12</f>
        <v>7</v>
      </c>
      <c r="E12" s="181">
        <f>Picks!D12</f>
        <v>1.2857142857142856</v>
      </c>
      <c r="F12" s="180">
        <f>IF(C12="","",INDEX(Odds!K:K,MATCH(C12,Odds!G:G,0)))</f>
        <v>1</v>
      </c>
      <c r="G12" s="180">
        <f>IF(C12="","",Picks!M12)</f>
        <v>0</v>
      </c>
      <c r="H12" s="181">
        <f t="shared" si="0"/>
        <v>0</v>
      </c>
      <c r="I12" s="191" t="str">
        <f t="shared" si="1"/>
        <v>Charlie Griffiths</v>
      </c>
      <c r="J12" s="179">
        <f>H32</f>
        <v>0</v>
      </c>
      <c r="K12" s="179">
        <f>H33</f>
        <v>1.1499999999999999</v>
      </c>
      <c r="L12" s="179">
        <f>H34</f>
        <v>0</v>
      </c>
      <c r="M12" s="179">
        <f t="shared" si="2"/>
        <v>0</v>
      </c>
      <c r="N12" s="179">
        <f t="shared" si="3"/>
        <v>2.15</v>
      </c>
      <c r="O12" s="179">
        <f t="shared" si="4"/>
        <v>0</v>
      </c>
      <c r="P12" s="179">
        <f t="shared" si="5"/>
        <v>0</v>
      </c>
      <c r="Q12" s="179">
        <f t="shared" si="6"/>
        <v>0</v>
      </c>
      <c r="R12" s="179">
        <f t="shared" si="7"/>
        <v>0</v>
      </c>
      <c r="S12" s="179">
        <f t="shared" si="8"/>
        <v>0</v>
      </c>
      <c r="T12" s="179">
        <f t="shared" si="9"/>
        <v>-4.8499999999999996</v>
      </c>
      <c r="U12" s="148">
        <f>SUM(G32:G34)</f>
        <v>1</v>
      </c>
      <c r="V12" s="120" t="s">
        <v>299</v>
      </c>
      <c r="W12" s="148">
        <f>SUM(F32:F34)</f>
        <v>3</v>
      </c>
      <c r="X12" s="181">
        <f t="shared" si="10"/>
        <v>0.28571428571428559</v>
      </c>
      <c r="Y12" s="179">
        <f>X32</f>
        <v>2.5</v>
      </c>
      <c r="Z12" s="179">
        <f>X33</f>
        <v>1.1499999999999999</v>
      </c>
      <c r="AA12" s="179">
        <f>X34</f>
        <v>0.95</v>
      </c>
      <c r="AB12" s="179">
        <f t="shared" si="11"/>
        <v>3.5</v>
      </c>
      <c r="AC12" s="185">
        <f t="shared" si="12"/>
        <v>2.15</v>
      </c>
      <c r="AD12" s="179">
        <f t="shared" si="13"/>
        <v>1.95</v>
      </c>
      <c r="AE12" s="179">
        <f t="shared" si="14"/>
        <v>7.5249999999999995</v>
      </c>
      <c r="AF12" s="179">
        <f t="shared" si="15"/>
        <v>4.1924999999999999</v>
      </c>
      <c r="AG12" s="179">
        <f t="shared" si="16"/>
        <v>6.8250000000000002</v>
      </c>
      <c r="AH12" s="179">
        <f t="shared" si="17"/>
        <v>14.673749999999998</v>
      </c>
      <c r="AI12" s="179">
        <f t="shared" si="18"/>
        <v>33.816249999999997</v>
      </c>
      <c r="AJ12" s="192" t="str">
        <f t="shared" si="19"/>
        <v>Charlie Griffiths</v>
      </c>
      <c r="AK12" s="1">
        <f t="shared" si="20"/>
        <v>7</v>
      </c>
    </row>
    <row r="13" spans="1:77" ht="13.15" thickBot="1">
      <c r="B13" s="182"/>
      <c r="C13" s="182" t="str">
        <f>Picks!B13</f>
        <v>Luton</v>
      </c>
      <c r="D13" s="183">
        <f>Picks!C13</f>
        <v>7</v>
      </c>
      <c r="E13" s="183">
        <f>Picks!D13</f>
        <v>10</v>
      </c>
      <c r="F13" s="182">
        <f>IF(C13="","",INDEX(Odds!K:K,MATCH(C13,Odds!G:G,0)))</f>
        <v>1</v>
      </c>
      <c r="G13" s="182">
        <f>IF(C13="","",Picks!M13)</f>
        <v>0</v>
      </c>
      <c r="H13" s="183">
        <f t="shared" si="0"/>
        <v>0</v>
      </c>
      <c r="I13" s="191" t="str">
        <f t="shared" si="1"/>
        <v>Chris Bow</v>
      </c>
      <c r="J13" s="179">
        <f>H35</f>
        <v>0</v>
      </c>
      <c r="K13" s="179">
        <f>H36</f>
        <v>1</v>
      </c>
      <c r="L13" s="179">
        <f>H37</f>
        <v>0</v>
      </c>
      <c r="M13" s="179">
        <f t="shared" si="2"/>
        <v>0</v>
      </c>
      <c r="N13" s="179">
        <f t="shared" si="3"/>
        <v>2</v>
      </c>
      <c r="O13" s="179">
        <f t="shared" si="4"/>
        <v>0</v>
      </c>
      <c r="P13" s="179">
        <f t="shared" si="5"/>
        <v>0</v>
      </c>
      <c r="Q13" s="179">
        <f t="shared" si="6"/>
        <v>0</v>
      </c>
      <c r="R13" s="179">
        <f t="shared" si="7"/>
        <v>0</v>
      </c>
      <c r="S13" s="179">
        <f t="shared" si="8"/>
        <v>0</v>
      </c>
      <c r="T13" s="179">
        <f t="shared" si="9"/>
        <v>-5</v>
      </c>
      <c r="U13" s="148">
        <f>SUM(G35:G37)</f>
        <v>1</v>
      </c>
      <c r="V13" s="117" t="s">
        <v>305</v>
      </c>
      <c r="W13" s="148">
        <f>SUM(F35:F37)</f>
        <v>3</v>
      </c>
      <c r="X13" s="181">
        <f t="shared" si="10"/>
        <v>9</v>
      </c>
      <c r="Y13" s="179">
        <f>X35</f>
        <v>0.90909090909090917</v>
      </c>
      <c r="Z13" s="179">
        <f>X36</f>
        <v>1</v>
      </c>
      <c r="AA13" s="179">
        <f>X37</f>
        <v>0.95</v>
      </c>
      <c r="AB13" s="179">
        <f t="shared" si="11"/>
        <v>1.9090909090909092</v>
      </c>
      <c r="AC13" s="185">
        <f t="shared" si="12"/>
        <v>2</v>
      </c>
      <c r="AD13" s="179">
        <f t="shared" si="13"/>
        <v>1.95</v>
      </c>
      <c r="AE13" s="179">
        <f t="shared" si="14"/>
        <v>3.8181818181818183</v>
      </c>
      <c r="AF13" s="179">
        <f t="shared" si="15"/>
        <v>3.9</v>
      </c>
      <c r="AG13" s="179">
        <f t="shared" si="16"/>
        <v>3.7227272727272727</v>
      </c>
      <c r="AH13" s="179">
        <f t="shared" si="17"/>
        <v>7.4454545454545453</v>
      </c>
      <c r="AI13" s="179">
        <f t="shared" si="18"/>
        <v>17.745454545454546</v>
      </c>
      <c r="AJ13" s="192" t="str">
        <f t="shared" si="19"/>
        <v>Chris Bow</v>
      </c>
      <c r="AK13" s="1">
        <f t="shared" si="20"/>
        <v>7</v>
      </c>
    </row>
    <row r="14" spans="1:77">
      <c r="B14" s="180" t="str">
        <f>$V6</f>
        <v>Alfie Davies</v>
      </c>
      <c r="C14" s="180" t="str">
        <f>Picks!B14</f>
        <v>Leicester</v>
      </c>
      <c r="D14" s="181">
        <f>Picks!C14</f>
        <v>6</v>
      </c>
      <c r="E14" s="181">
        <f>Picks!D14</f>
        <v>1.8</v>
      </c>
      <c r="F14" s="180">
        <f>IF(C14="","",INDEX(Odds!K:K,MATCH(C14,Odds!G:G,0)))</f>
        <v>1</v>
      </c>
      <c r="G14" s="180">
        <f>IF(C14="","",Picks!M14)</f>
        <v>0</v>
      </c>
      <c r="H14" s="181">
        <f t="shared" si="0"/>
        <v>0</v>
      </c>
      <c r="I14" s="191" t="str">
        <f t="shared" si="1"/>
        <v>Chris Griffin</v>
      </c>
      <c r="J14" s="179">
        <f>H38</f>
        <v>1.375</v>
      </c>
      <c r="K14" s="179">
        <f>H39</f>
        <v>0.53333333333333321</v>
      </c>
      <c r="L14" s="179">
        <f>H40</f>
        <v>0</v>
      </c>
      <c r="M14" s="179">
        <f t="shared" si="2"/>
        <v>2.375</v>
      </c>
      <c r="N14" s="179">
        <f t="shared" si="3"/>
        <v>1.5333333333333332</v>
      </c>
      <c r="O14" s="179">
        <f t="shared" si="4"/>
        <v>0</v>
      </c>
      <c r="P14" s="179">
        <f t="shared" si="5"/>
        <v>3.6416666666666666</v>
      </c>
      <c r="Q14" s="179">
        <f t="shared" si="6"/>
        <v>0</v>
      </c>
      <c r="R14" s="179">
        <f t="shared" si="7"/>
        <v>0</v>
      </c>
      <c r="S14" s="179">
        <f t="shared" si="8"/>
        <v>0</v>
      </c>
      <c r="T14" s="179">
        <f t="shared" si="9"/>
        <v>0.54999999999999982</v>
      </c>
      <c r="U14" s="148">
        <f>SUM(G38:G40)</f>
        <v>2</v>
      </c>
      <c r="V14" s="117" t="s">
        <v>298</v>
      </c>
      <c r="W14" s="148">
        <f>SUM(F38:F40)</f>
        <v>3</v>
      </c>
      <c r="X14" s="181">
        <f t="shared" si="10"/>
        <v>0.8</v>
      </c>
      <c r="Y14" s="179">
        <f>X38</f>
        <v>1.375</v>
      </c>
      <c r="Z14" s="179">
        <f>X39</f>
        <v>0.53333333333333321</v>
      </c>
      <c r="AA14" s="179">
        <f>X40</f>
        <v>0.95</v>
      </c>
      <c r="AB14" s="179">
        <f t="shared" si="11"/>
        <v>2.375</v>
      </c>
      <c r="AC14" s="185">
        <f t="shared" si="12"/>
        <v>1.5333333333333332</v>
      </c>
      <c r="AD14" s="179">
        <f t="shared" si="13"/>
        <v>1.95</v>
      </c>
      <c r="AE14" s="179">
        <f t="shared" si="14"/>
        <v>3.6416666666666666</v>
      </c>
      <c r="AF14" s="179">
        <f t="shared" si="15"/>
        <v>2.9899999999999998</v>
      </c>
      <c r="AG14" s="179">
        <f t="shared" si="16"/>
        <v>4.6312499999999996</v>
      </c>
      <c r="AH14" s="179">
        <f t="shared" si="17"/>
        <v>7.1012500000000003</v>
      </c>
      <c r="AI14" s="179">
        <f t="shared" si="18"/>
        <v>17.2225</v>
      </c>
      <c r="AJ14" s="192" t="str">
        <f t="shared" si="19"/>
        <v>Chris Griffin</v>
      </c>
      <c r="AK14" s="1">
        <f t="shared" si="20"/>
        <v>7</v>
      </c>
    </row>
    <row r="15" spans="1:77">
      <c r="B15" s="180"/>
      <c r="C15" s="180" t="str">
        <f>Picks!B15</f>
        <v>Leeds</v>
      </c>
      <c r="D15" s="181">
        <f>Picks!C15</f>
        <v>6</v>
      </c>
      <c r="E15" s="181">
        <f>Picks!D15</f>
        <v>1.6153846153846154</v>
      </c>
      <c r="F15" s="180">
        <f>IF(C15="","",INDEX(Odds!K:K,MATCH(C15,Odds!G:G,0)))</f>
        <v>1</v>
      </c>
      <c r="G15" s="180">
        <f>IF(C15="","",Picks!M15)</f>
        <v>0</v>
      </c>
      <c r="H15" s="181">
        <f t="shared" si="0"/>
        <v>0</v>
      </c>
      <c r="I15" s="191" t="str">
        <f t="shared" si="1"/>
        <v>Chris Luck</v>
      </c>
      <c r="J15" s="179">
        <f>H41</f>
        <v>1.1000000000000001</v>
      </c>
      <c r="K15" s="179">
        <f>H42</f>
        <v>0</v>
      </c>
      <c r="L15" s="179">
        <f>H43</f>
        <v>0</v>
      </c>
      <c r="M15" s="179">
        <f t="shared" si="2"/>
        <v>2.1</v>
      </c>
      <c r="N15" s="179">
        <f t="shared" si="3"/>
        <v>0</v>
      </c>
      <c r="O15" s="179">
        <f t="shared" si="4"/>
        <v>0</v>
      </c>
      <c r="P15" s="179">
        <f t="shared" si="5"/>
        <v>0</v>
      </c>
      <c r="Q15" s="179">
        <f t="shared" si="6"/>
        <v>0</v>
      </c>
      <c r="R15" s="179">
        <f t="shared" si="7"/>
        <v>0</v>
      </c>
      <c r="S15" s="179">
        <f t="shared" si="8"/>
        <v>0</v>
      </c>
      <c r="T15" s="179">
        <f t="shared" si="9"/>
        <v>-4.9000000000000004</v>
      </c>
      <c r="U15" s="148">
        <f>SUM(G41:G43)</f>
        <v>1</v>
      </c>
      <c r="V15" s="117" t="s">
        <v>306</v>
      </c>
      <c r="W15" s="148">
        <f>SUM(F41:F43)</f>
        <v>3</v>
      </c>
      <c r="X15" s="181">
        <f t="shared" si="10"/>
        <v>0.61538461538461542</v>
      </c>
      <c r="Y15" s="179">
        <f>X41</f>
        <v>1.1000000000000001</v>
      </c>
      <c r="Z15" s="179">
        <f>X42</f>
        <v>1.2000000000000002</v>
      </c>
      <c r="AA15" s="179">
        <f>X43</f>
        <v>1.2000000000000002</v>
      </c>
      <c r="AB15" s="179">
        <f t="shared" si="11"/>
        <v>2.1</v>
      </c>
      <c r="AC15" s="185">
        <f t="shared" si="12"/>
        <v>2.2000000000000002</v>
      </c>
      <c r="AD15" s="179">
        <f t="shared" si="13"/>
        <v>2.2000000000000002</v>
      </c>
      <c r="AE15" s="179">
        <f t="shared" si="14"/>
        <v>4.620000000000001</v>
      </c>
      <c r="AF15" s="179">
        <f t="shared" si="15"/>
        <v>4.8400000000000007</v>
      </c>
      <c r="AG15" s="179">
        <f t="shared" si="16"/>
        <v>4.620000000000001</v>
      </c>
      <c r="AH15" s="179">
        <f t="shared" si="17"/>
        <v>10.164000000000003</v>
      </c>
      <c r="AI15" s="179">
        <f t="shared" si="18"/>
        <v>23.744000000000007</v>
      </c>
      <c r="AJ15" s="192" t="str">
        <f t="shared" si="19"/>
        <v>Chris Luck</v>
      </c>
      <c r="AK15" s="1">
        <f t="shared" si="20"/>
        <v>7</v>
      </c>
    </row>
    <row r="16" spans="1:77" ht="13.15" thickBot="1">
      <c r="B16" s="182"/>
      <c r="C16" s="182" t="str">
        <f>Picks!B16</f>
        <v>Fulham</v>
      </c>
      <c r="D16" s="183">
        <f>Picks!C16</f>
        <v>7</v>
      </c>
      <c r="E16" s="183">
        <f>Picks!D16</f>
        <v>1.7</v>
      </c>
      <c r="F16" s="182">
        <f>IF(C16="","",INDEX(Odds!K:K,MATCH(C16,Odds!G:G,0)))</f>
        <v>1</v>
      </c>
      <c r="G16" s="182">
        <f>IF(C16="","",Picks!M16)</f>
        <v>0</v>
      </c>
      <c r="H16" s="183">
        <f t="shared" si="0"/>
        <v>0</v>
      </c>
      <c r="I16" s="191" t="str">
        <f t="shared" si="1"/>
        <v>Chris Townsend</v>
      </c>
      <c r="J16" s="179">
        <f>H44</f>
        <v>0</v>
      </c>
      <c r="K16" s="179">
        <f>H45</f>
        <v>0</v>
      </c>
      <c r="L16" s="179">
        <f>H46</f>
        <v>0</v>
      </c>
      <c r="M16" s="179">
        <f t="shared" si="2"/>
        <v>0</v>
      </c>
      <c r="N16" s="179">
        <f t="shared" si="3"/>
        <v>0</v>
      </c>
      <c r="O16" s="179">
        <f t="shared" si="4"/>
        <v>0</v>
      </c>
      <c r="P16" s="179">
        <f t="shared" si="5"/>
        <v>0</v>
      </c>
      <c r="Q16" s="179">
        <f t="shared" si="6"/>
        <v>0</v>
      </c>
      <c r="R16" s="179">
        <f t="shared" si="7"/>
        <v>0</v>
      </c>
      <c r="S16" s="179">
        <f t="shared" si="8"/>
        <v>0</v>
      </c>
      <c r="T16" s="179">
        <f t="shared" si="9"/>
        <v>-7</v>
      </c>
      <c r="U16" s="148">
        <f>SUM(G44:G46)</f>
        <v>0</v>
      </c>
      <c r="V16" s="118" t="s">
        <v>302</v>
      </c>
      <c r="W16" s="148">
        <f>SUM(F44:F46)</f>
        <v>3</v>
      </c>
      <c r="X16" s="181">
        <f t="shared" si="10"/>
        <v>0.7</v>
      </c>
      <c r="Y16" s="179">
        <f>X44</f>
        <v>8</v>
      </c>
      <c r="Z16" s="179">
        <f>X45</f>
        <v>9</v>
      </c>
      <c r="AA16" s="179">
        <f>X46</f>
        <v>2.2000000000000002</v>
      </c>
      <c r="AB16" s="179">
        <f t="shared" si="11"/>
        <v>9</v>
      </c>
      <c r="AC16" s="185">
        <f t="shared" si="12"/>
        <v>10</v>
      </c>
      <c r="AD16" s="179">
        <f t="shared" si="13"/>
        <v>3.2</v>
      </c>
      <c r="AE16" s="179">
        <f t="shared" si="14"/>
        <v>90</v>
      </c>
      <c r="AF16" s="179">
        <f t="shared" si="15"/>
        <v>32</v>
      </c>
      <c r="AG16" s="179">
        <f t="shared" si="16"/>
        <v>28.8</v>
      </c>
      <c r="AH16" s="179">
        <f t="shared" si="17"/>
        <v>288</v>
      </c>
      <c r="AI16" s="179">
        <f t="shared" si="18"/>
        <v>454</v>
      </c>
      <c r="AJ16" s="192" t="str">
        <f t="shared" si="19"/>
        <v>Chris Townsend</v>
      </c>
      <c r="AK16" s="1">
        <f t="shared" si="20"/>
        <v>7</v>
      </c>
    </row>
    <row r="17" spans="2:37">
      <c r="B17" s="180" t="str">
        <f>$V7</f>
        <v>Alick Rocca</v>
      </c>
      <c r="C17" s="180" t="str">
        <f>Picks!B17</f>
        <v>Stockport</v>
      </c>
      <c r="D17" s="181">
        <f>Picks!C17</f>
        <v>6</v>
      </c>
      <c r="E17" s="181">
        <f>Picks!D17</f>
        <v>1.65</v>
      </c>
      <c r="F17" s="180">
        <f>IF(C17="","",INDEX(Odds!K:K,MATCH(C17,Odds!G:G,0)))</f>
        <v>1</v>
      </c>
      <c r="G17" s="180">
        <f>IF(C17="","",Picks!M17)</f>
        <v>1</v>
      </c>
      <c r="H17" s="181">
        <f t="shared" si="0"/>
        <v>0.64999999999999991</v>
      </c>
      <c r="I17" s="191" t="str">
        <f t="shared" si="1"/>
        <v>Dan Gibbard</v>
      </c>
      <c r="J17" s="179" t="str">
        <f>H47</f>
        <v/>
      </c>
      <c r="K17" s="179" t="str">
        <f>H48</f>
        <v/>
      </c>
      <c r="L17" s="179" t="str">
        <f>H49</f>
        <v/>
      </c>
      <c r="M17" s="179" t="e">
        <f t="shared" si="2"/>
        <v>#VALUE!</v>
      </c>
      <c r="N17" s="179" t="e">
        <f t="shared" si="3"/>
        <v>#VALUE!</v>
      </c>
      <c r="O17" s="179" t="e">
        <f t="shared" si="4"/>
        <v>#VALUE!</v>
      </c>
      <c r="P17" s="179" t="e">
        <f t="shared" si="5"/>
        <v>#VALUE!</v>
      </c>
      <c r="Q17" s="179" t="e">
        <f t="shared" si="6"/>
        <v>#VALUE!</v>
      </c>
      <c r="R17" s="179" t="e">
        <f t="shared" si="7"/>
        <v>#VALUE!</v>
      </c>
      <c r="S17" s="179" t="e">
        <f t="shared" si="8"/>
        <v>#VALUE!</v>
      </c>
      <c r="T17" s="179" t="e">
        <f t="shared" si="9"/>
        <v>#VALUE!</v>
      </c>
      <c r="U17" s="148">
        <f>SUM(G47:G49)</f>
        <v>0</v>
      </c>
      <c r="V17" s="120" t="s">
        <v>508</v>
      </c>
      <c r="W17" s="148">
        <f>SUM(F47:F49)</f>
        <v>0</v>
      </c>
      <c r="X17" s="181">
        <f t="shared" si="10"/>
        <v>0.64999999999999991</v>
      </c>
      <c r="Y17" s="179" t="e">
        <f>X47</f>
        <v>#VALUE!</v>
      </c>
      <c r="Z17" s="179" t="e">
        <f>X48</f>
        <v>#VALUE!</v>
      </c>
      <c r="AA17" s="179" t="e">
        <f>X49</f>
        <v>#VALUE!</v>
      </c>
      <c r="AB17" s="179" t="e">
        <f t="shared" si="11"/>
        <v>#VALUE!</v>
      </c>
      <c r="AC17" s="185" t="e">
        <f t="shared" si="12"/>
        <v>#VALUE!</v>
      </c>
      <c r="AD17" s="179" t="e">
        <f t="shared" si="13"/>
        <v>#VALUE!</v>
      </c>
      <c r="AE17" s="179" t="e">
        <f t="shared" si="14"/>
        <v>#VALUE!</v>
      </c>
      <c r="AF17" s="179" t="e">
        <f t="shared" si="15"/>
        <v>#VALUE!</v>
      </c>
      <c r="AG17" s="179" t="e">
        <f t="shared" si="16"/>
        <v>#VALUE!</v>
      </c>
      <c r="AH17" s="179" t="e">
        <f t="shared" si="17"/>
        <v>#VALUE!</v>
      </c>
      <c r="AI17" s="179" t="e">
        <f t="shared" si="18"/>
        <v>#VALUE!</v>
      </c>
      <c r="AJ17" s="192" t="str">
        <f t="shared" si="19"/>
        <v>Dan Gibbard</v>
      </c>
      <c r="AK17" s="1">
        <f t="shared" si="20"/>
        <v>1</v>
      </c>
    </row>
    <row r="18" spans="2:37">
      <c r="B18" s="180"/>
      <c r="C18" s="180" t="str">
        <f>Picks!B18</f>
        <v>Huddersfield Draw</v>
      </c>
      <c r="D18" s="181">
        <f>Picks!C18</f>
        <v>6</v>
      </c>
      <c r="E18" s="181">
        <f>Picks!D18</f>
        <v>3.3</v>
      </c>
      <c r="F18" s="180">
        <f>IF(C18="","",INDEX(Odds!K:K,MATCH(C18,Odds!G:G,0)))</f>
        <v>1</v>
      </c>
      <c r="G18" s="180">
        <f>IF(C18="","",Picks!M18)</f>
        <v>0</v>
      </c>
      <c r="H18" s="181">
        <f t="shared" si="0"/>
        <v>0</v>
      </c>
      <c r="I18" s="191" t="str">
        <f t="shared" si="1"/>
        <v>Dave Bell</v>
      </c>
      <c r="J18" s="179">
        <f>H50</f>
        <v>0</v>
      </c>
      <c r="K18" s="179">
        <f>H51</f>
        <v>0</v>
      </c>
      <c r="L18" s="179">
        <f>H52</f>
        <v>0</v>
      </c>
      <c r="M18" s="179">
        <f t="shared" si="2"/>
        <v>0</v>
      </c>
      <c r="N18" s="179">
        <f t="shared" si="3"/>
        <v>0</v>
      </c>
      <c r="O18" s="179">
        <f t="shared" si="4"/>
        <v>0</v>
      </c>
      <c r="P18" s="179">
        <f t="shared" si="5"/>
        <v>0</v>
      </c>
      <c r="Q18" s="179">
        <f t="shared" si="6"/>
        <v>0</v>
      </c>
      <c r="R18" s="179">
        <f t="shared" si="7"/>
        <v>0</v>
      </c>
      <c r="S18" s="179">
        <f t="shared" si="8"/>
        <v>0</v>
      </c>
      <c r="T18" s="179">
        <f t="shared" si="9"/>
        <v>-7</v>
      </c>
      <c r="U18" s="148">
        <f>SUM(G50:G52)</f>
        <v>0</v>
      </c>
      <c r="V18" s="117" t="s">
        <v>368</v>
      </c>
      <c r="W18" s="148">
        <f>SUM(F50:F52)</f>
        <v>3</v>
      </c>
      <c r="X18" s="181">
        <f t="shared" si="10"/>
        <v>2.2999999999999998</v>
      </c>
      <c r="Y18" s="179">
        <f>X50</f>
        <v>6.5</v>
      </c>
      <c r="Z18" s="179">
        <f>X51</f>
        <v>9</v>
      </c>
      <c r="AA18" s="179">
        <f>X52</f>
        <v>8</v>
      </c>
      <c r="AB18" s="179">
        <f t="shared" si="11"/>
        <v>7.5</v>
      </c>
      <c r="AC18" s="185">
        <f t="shared" si="12"/>
        <v>10</v>
      </c>
      <c r="AD18" s="179">
        <f t="shared" si="13"/>
        <v>9</v>
      </c>
      <c r="AE18" s="179">
        <f t="shared" si="14"/>
        <v>75</v>
      </c>
      <c r="AF18" s="179">
        <f t="shared" si="15"/>
        <v>90</v>
      </c>
      <c r="AG18" s="179">
        <f t="shared" si="16"/>
        <v>67.5</v>
      </c>
      <c r="AH18" s="179">
        <f t="shared" si="17"/>
        <v>675</v>
      </c>
      <c r="AI18" s="179">
        <f t="shared" si="18"/>
        <v>927</v>
      </c>
      <c r="AJ18" s="192" t="str">
        <f t="shared" si="19"/>
        <v>Dave Bell</v>
      </c>
      <c r="AK18" s="1">
        <f t="shared" si="20"/>
        <v>7</v>
      </c>
    </row>
    <row r="19" spans="2:37" ht="13.15" thickBot="1">
      <c r="B19" s="182"/>
      <c r="C19" s="182" t="str">
        <f>Picks!B19</f>
        <v>Peterborough</v>
      </c>
      <c r="D19" s="183">
        <f>Picks!C19</f>
        <v>6</v>
      </c>
      <c r="E19" s="183">
        <f>Picks!D19</f>
        <v>1.2857142857142856</v>
      </c>
      <c r="F19" s="182">
        <f>IF(C19="","",INDEX(Odds!K:K,MATCH(C19,Odds!G:G,0)))</f>
        <v>1</v>
      </c>
      <c r="G19" s="182">
        <f>IF(C19="","",Picks!M19)</f>
        <v>0</v>
      </c>
      <c r="H19" s="183">
        <f t="shared" si="0"/>
        <v>0</v>
      </c>
      <c r="I19" s="191" t="str">
        <f t="shared" si="1"/>
        <v>Dave Orrell</v>
      </c>
      <c r="J19" s="179" t="str">
        <f>H53</f>
        <v/>
      </c>
      <c r="K19" s="179" t="str">
        <f>H54</f>
        <v/>
      </c>
      <c r="L19" s="179" t="str">
        <f>H55</f>
        <v/>
      </c>
      <c r="M19" s="179" t="e">
        <f t="shared" si="2"/>
        <v>#VALUE!</v>
      </c>
      <c r="N19" s="179" t="e">
        <f t="shared" si="3"/>
        <v>#VALUE!</v>
      </c>
      <c r="O19" s="179" t="e">
        <f t="shared" si="4"/>
        <v>#VALUE!</v>
      </c>
      <c r="P19" s="179" t="e">
        <f t="shared" si="5"/>
        <v>#VALUE!</v>
      </c>
      <c r="Q19" s="179" t="e">
        <f t="shared" si="6"/>
        <v>#VALUE!</v>
      </c>
      <c r="R19" s="179" t="e">
        <f t="shared" si="7"/>
        <v>#VALUE!</v>
      </c>
      <c r="S19" s="179" t="e">
        <f t="shared" si="8"/>
        <v>#VALUE!</v>
      </c>
      <c r="T19" s="179" t="e">
        <f t="shared" si="9"/>
        <v>#VALUE!</v>
      </c>
      <c r="U19" s="148">
        <f>SUM(G53:G55)</f>
        <v>0</v>
      </c>
      <c r="V19" s="117" t="s">
        <v>359</v>
      </c>
      <c r="W19" s="148">
        <f>SUM(F53:F55)</f>
        <v>0</v>
      </c>
      <c r="X19" s="181">
        <f t="shared" si="10"/>
        <v>0.28571428571428559</v>
      </c>
      <c r="Y19" s="179" t="e">
        <f>X53</f>
        <v>#VALUE!</v>
      </c>
      <c r="Z19" s="179" t="e">
        <f>X54</f>
        <v>#VALUE!</v>
      </c>
      <c r="AA19" s="179" t="e">
        <f>X55</f>
        <v>#VALUE!</v>
      </c>
      <c r="AB19" s="179" t="e">
        <f t="shared" si="11"/>
        <v>#VALUE!</v>
      </c>
      <c r="AC19" s="185" t="e">
        <f t="shared" si="12"/>
        <v>#VALUE!</v>
      </c>
      <c r="AD19" s="179" t="e">
        <f t="shared" si="13"/>
        <v>#VALUE!</v>
      </c>
      <c r="AE19" s="179" t="e">
        <f t="shared" si="14"/>
        <v>#VALUE!</v>
      </c>
      <c r="AF19" s="179" t="e">
        <f t="shared" si="15"/>
        <v>#VALUE!</v>
      </c>
      <c r="AG19" s="179" t="e">
        <f t="shared" si="16"/>
        <v>#VALUE!</v>
      </c>
      <c r="AH19" s="179" t="e">
        <f t="shared" si="17"/>
        <v>#VALUE!</v>
      </c>
      <c r="AI19" s="179" t="e">
        <f t="shared" si="18"/>
        <v>#VALUE!</v>
      </c>
      <c r="AJ19" s="192" t="str">
        <f t="shared" si="19"/>
        <v>Dave Orrell</v>
      </c>
      <c r="AK19" s="1">
        <f t="shared" si="20"/>
        <v>1</v>
      </c>
    </row>
    <row r="20" spans="2:37">
      <c r="B20" s="181" t="str">
        <f>$V8</f>
        <v>Andy White</v>
      </c>
      <c r="C20" s="180" t="str">
        <f>Picks!B20</f>
        <v>Bournemouth</v>
      </c>
      <c r="D20" s="181">
        <f>Picks!C20</f>
        <v>7</v>
      </c>
      <c r="E20" s="181">
        <f>Picks!D20</f>
        <v>2.1</v>
      </c>
      <c r="F20" s="180">
        <f>IF(C20="","",INDEX(Odds!K:K,MATCH(C20,Odds!G:G,0)))</f>
        <v>1</v>
      </c>
      <c r="G20" s="180">
        <f>IF(C20="","",Picks!M20)</f>
        <v>1</v>
      </c>
      <c r="H20" s="181">
        <f t="shared" si="0"/>
        <v>1.1000000000000001</v>
      </c>
      <c r="I20" s="191" t="str">
        <f t="shared" si="1"/>
        <v>David Dunn</v>
      </c>
      <c r="J20" s="179">
        <f>H56</f>
        <v>0</v>
      </c>
      <c r="K20" s="179">
        <f>H57</f>
        <v>0</v>
      </c>
      <c r="L20" s="179">
        <f>H58</f>
        <v>0</v>
      </c>
      <c r="M20" s="179">
        <f t="shared" si="2"/>
        <v>0</v>
      </c>
      <c r="N20" s="179">
        <f t="shared" si="3"/>
        <v>0</v>
      </c>
      <c r="O20" s="179">
        <f t="shared" si="4"/>
        <v>0</v>
      </c>
      <c r="P20" s="179">
        <f t="shared" si="5"/>
        <v>0</v>
      </c>
      <c r="Q20" s="179">
        <f t="shared" si="6"/>
        <v>0</v>
      </c>
      <c r="R20" s="179">
        <f t="shared" si="7"/>
        <v>0</v>
      </c>
      <c r="S20" s="179">
        <f t="shared" si="8"/>
        <v>0</v>
      </c>
      <c r="T20" s="179">
        <f t="shared" si="9"/>
        <v>-7</v>
      </c>
      <c r="U20" s="148">
        <f>SUM(G56:G58)</f>
        <v>0</v>
      </c>
      <c r="V20" s="120" t="s">
        <v>360</v>
      </c>
      <c r="W20" s="148">
        <f>SUM(F56:F58)</f>
        <v>3</v>
      </c>
      <c r="X20" s="181">
        <f t="shared" si="10"/>
        <v>1.1000000000000001</v>
      </c>
      <c r="Y20" s="179">
        <f>X56</f>
        <v>2.2000000000000002</v>
      </c>
      <c r="Z20" s="179">
        <f>X57</f>
        <v>1.2000000000000002</v>
      </c>
      <c r="AA20" s="179">
        <f>X58</f>
        <v>0.28571428571428559</v>
      </c>
      <c r="AB20" s="179">
        <f t="shared" si="11"/>
        <v>3.2</v>
      </c>
      <c r="AC20" s="185">
        <f t="shared" si="12"/>
        <v>2.2000000000000002</v>
      </c>
      <c r="AD20" s="179">
        <f t="shared" si="13"/>
        <v>1.2857142857142856</v>
      </c>
      <c r="AE20" s="179">
        <f t="shared" si="14"/>
        <v>7.0400000000000009</v>
      </c>
      <c r="AF20" s="179">
        <f t="shared" si="15"/>
        <v>2.8285714285714283</v>
      </c>
      <c r="AG20" s="179">
        <f t="shared" si="16"/>
        <v>4.1142857142857139</v>
      </c>
      <c r="AH20" s="179">
        <f t="shared" si="17"/>
        <v>9.0514285714285716</v>
      </c>
      <c r="AI20" s="179">
        <f t="shared" si="18"/>
        <v>22.72</v>
      </c>
      <c r="AJ20" s="192" t="str">
        <f t="shared" si="19"/>
        <v>David Dunn</v>
      </c>
      <c r="AK20" s="1">
        <f t="shared" si="20"/>
        <v>7</v>
      </c>
    </row>
    <row r="21" spans="2:37">
      <c r="B21" s="180"/>
      <c r="C21" s="180" t="str">
        <f>Picks!B21</f>
        <v>Man U</v>
      </c>
      <c r="D21" s="181">
        <f>Picks!C21</f>
        <v>7</v>
      </c>
      <c r="E21" s="181">
        <f>Picks!D21</f>
        <v>2.2000000000000002</v>
      </c>
      <c r="F21" s="180">
        <f>IF(C21="","",INDEX(Odds!K:K,MATCH(C21,Odds!G:G,0)))</f>
        <v>1</v>
      </c>
      <c r="G21" s="180">
        <f>IF(C21="","",Picks!M21)</f>
        <v>0</v>
      </c>
      <c r="H21" s="181">
        <f t="shared" si="0"/>
        <v>0</v>
      </c>
      <c r="I21" s="191" t="str">
        <f t="shared" si="1"/>
        <v>Emma McDermott</v>
      </c>
      <c r="J21" s="179" t="str">
        <f>H59</f>
        <v/>
      </c>
      <c r="K21" s="179" t="str">
        <f>H60</f>
        <v/>
      </c>
      <c r="L21" s="179" t="str">
        <f>H61</f>
        <v/>
      </c>
      <c r="M21" s="179" t="e">
        <f t="shared" si="2"/>
        <v>#VALUE!</v>
      </c>
      <c r="N21" s="179" t="e">
        <f t="shared" si="3"/>
        <v>#VALUE!</v>
      </c>
      <c r="O21" s="179" t="e">
        <f t="shared" si="4"/>
        <v>#VALUE!</v>
      </c>
      <c r="P21" s="179" t="e">
        <f t="shared" si="5"/>
        <v>#VALUE!</v>
      </c>
      <c r="Q21" s="179" t="e">
        <f t="shared" si="6"/>
        <v>#VALUE!</v>
      </c>
      <c r="R21" s="179" t="e">
        <f t="shared" si="7"/>
        <v>#VALUE!</v>
      </c>
      <c r="S21" s="179" t="e">
        <f t="shared" si="8"/>
        <v>#VALUE!</v>
      </c>
      <c r="T21" s="179" t="e">
        <f t="shared" si="9"/>
        <v>#VALUE!</v>
      </c>
      <c r="U21" s="148">
        <f>SUM(G59:G61)</f>
        <v>0</v>
      </c>
      <c r="V21" s="117" t="s">
        <v>529</v>
      </c>
      <c r="W21" s="148">
        <f>SUM(F59:F61)</f>
        <v>0</v>
      </c>
      <c r="X21" s="181">
        <f t="shared" si="10"/>
        <v>1.2000000000000002</v>
      </c>
      <c r="Y21" s="179" t="e">
        <f>X59</f>
        <v>#VALUE!</v>
      </c>
      <c r="Z21" s="179" t="e">
        <f>X60</f>
        <v>#VALUE!</v>
      </c>
      <c r="AA21" s="179" t="e">
        <f>X61</f>
        <v>#VALUE!</v>
      </c>
      <c r="AB21" s="179" t="e">
        <f t="shared" si="11"/>
        <v>#VALUE!</v>
      </c>
      <c r="AC21" s="185" t="e">
        <f t="shared" si="12"/>
        <v>#VALUE!</v>
      </c>
      <c r="AD21" s="179" t="e">
        <f t="shared" si="13"/>
        <v>#VALUE!</v>
      </c>
      <c r="AE21" s="179" t="e">
        <f t="shared" si="14"/>
        <v>#VALUE!</v>
      </c>
      <c r="AF21" s="179" t="e">
        <f t="shared" si="15"/>
        <v>#VALUE!</v>
      </c>
      <c r="AG21" s="179" t="e">
        <f t="shared" si="16"/>
        <v>#VALUE!</v>
      </c>
      <c r="AH21" s="179" t="e">
        <f t="shared" si="17"/>
        <v>#VALUE!</v>
      </c>
      <c r="AI21" s="179" t="e">
        <f t="shared" si="18"/>
        <v>#VALUE!</v>
      </c>
      <c r="AJ21" s="192" t="str">
        <f t="shared" si="19"/>
        <v>Emma McDermott</v>
      </c>
      <c r="AK21" s="1">
        <f t="shared" si="20"/>
        <v>1</v>
      </c>
    </row>
    <row r="22" spans="2:37" ht="13.15" thickBot="1">
      <c r="B22" s="182"/>
      <c r="C22" s="182" t="str">
        <f>Picks!B22</f>
        <v>Newcastle</v>
      </c>
      <c r="D22" s="183">
        <f>Picks!C22</f>
        <v>7</v>
      </c>
      <c r="E22" s="183">
        <f>Picks!D22</f>
        <v>1.85</v>
      </c>
      <c r="F22" s="182">
        <f>IF(C22="","",INDEX(Odds!K:K,MATCH(C22,Odds!G:G,0)))</f>
        <v>1</v>
      </c>
      <c r="G22" s="182">
        <f>IF(C22="","",Picks!M22)</f>
        <v>1</v>
      </c>
      <c r="H22" s="183">
        <f t="shared" si="0"/>
        <v>0.85000000000000009</v>
      </c>
      <c r="I22" s="191" t="str">
        <f t="shared" si="1"/>
        <v>Frank Allen</v>
      </c>
      <c r="J22" s="179">
        <f>H62</f>
        <v>0</v>
      </c>
      <c r="K22" s="179">
        <f>H63</f>
        <v>0</v>
      </c>
      <c r="L22" s="179">
        <f>H64</f>
        <v>1.1499999999999999</v>
      </c>
      <c r="M22" s="179">
        <f t="shared" si="2"/>
        <v>0</v>
      </c>
      <c r="N22" s="179">
        <f t="shared" si="3"/>
        <v>0</v>
      </c>
      <c r="O22" s="179">
        <f t="shared" si="4"/>
        <v>2.15</v>
      </c>
      <c r="P22" s="179">
        <f t="shared" si="5"/>
        <v>0</v>
      </c>
      <c r="Q22" s="179">
        <f t="shared" si="6"/>
        <v>0</v>
      </c>
      <c r="R22" s="179">
        <f t="shared" si="7"/>
        <v>0</v>
      </c>
      <c r="S22" s="179">
        <f t="shared" si="8"/>
        <v>0</v>
      </c>
      <c r="T22" s="179">
        <f t="shared" si="9"/>
        <v>-4.8499999999999996</v>
      </c>
      <c r="U22" s="148">
        <f>SUM(G62:G64)</f>
        <v>1</v>
      </c>
      <c r="V22" s="117" t="s">
        <v>509</v>
      </c>
      <c r="W22" s="148">
        <f>SUM(F62:F64)</f>
        <v>3</v>
      </c>
      <c r="X22" s="181">
        <f t="shared" si="10"/>
        <v>0.85000000000000009</v>
      </c>
      <c r="Y22" s="179">
        <f>X62</f>
        <v>0.61538461538461542</v>
      </c>
      <c r="Z22" s="179">
        <f>X63</f>
        <v>1</v>
      </c>
      <c r="AA22" s="179">
        <f>X64</f>
        <v>1.1499999999999999</v>
      </c>
      <c r="AB22" s="179">
        <f t="shared" si="11"/>
        <v>1.6153846153846154</v>
      </c>
      <c r="AC22" s="185">
        <f t="shared" si="12"/>
        <v>2</v>
      </c>
      <c r="AD22" s="179">
        <f t="shared" si="13"/>
        <v>2.15</v>
      </c>
      <c r="AE22" s="179">
        <f t="shared" si="14"/>
        <v>3.2307692307692308</v>
      </c>
      <c r="AF22" s="179">
        <f t="shared" si="15"/>
        <v>4.3</v>
      </c>
      <c r="AG22" s="179">
        <f t="shared" si="16"/>
        <v>3.4730769230769232</v>
      </c>
      <c r="AH22" s="179">
        <f t="shared" si="17"/>
        <v>6.9461538461538463</v>
      </c>
      <c r="AI22" s="179">
        <f t="shared" si="18"/>
        <v>16.715384615384615</v>
      </c>
      <c r="AJ22" s="192" t="str">
        <f t="shared" si="19"/>
        <v>Frank Allen</v>
      </c>
      <c r="AK22" s="1">
        <f t="shared" si="20"/>
        <v>7</v>
      </c>
    </row>
    <row r="23" spans="2:37">
      <c r="B23" s="181" t="str">
        <f>$V9</f>
        <v>Barry Birchall</v>
      </c>
      <c r="C23" s="180" t="str">
        <f>Picks!B23</f>
        <v>Norwich</v>
      </c>
      <c r="D23" s="181">
        <f>Picks!C23</f>
        <v>6</v>
      </c>
      <c r="E23" s="181">
        <f>Picks!D23</f>
        <v>1.5</v>
      </c>
      <c r="F23" s="180">
        <f>IF(C23="","",INDEX(Odds!K:K,MATCH(C23,Odds!G:G,0)))</f>
        <v>1</v>
      </c>
      <c r="G23" s="180">
        <f>IF(C23="","",Picks!M23)</f>
        <v>1</v>
      </c>
      <c r="H23" s="181">
        <f t="shared" si="0"/>
        <v>0.5</v>
      </c>
      <c r="I23" s="191" t="str">
        <f t="shared" si="1"/>
        <v>Gareth Powell</v>
      </c>
      <c r="J23" s="179">
        <f>H65</f>
        <v>0</v>
      </c>
      <c r="K23" s="179">
        <f>H66</f>
        <v>2.4</v>
      </c>
      <c r="L23" s="179">
        <f>H67</f>
        <v>3</v>
      </c>
      <c r="M23" s="179">
        <f t="shared" si="2"/>
        <v>0</v>
      </c>
      <c r="N23" s="179">
        <f t="shared" si="3"/>
        <v>3.4</v>
      </c>
      <c r="O23" s="179">
        <f t="shared" si="4"/>
        <v>4</v>
      </c>
      <c r="P23" s="179">
        <f t="shared" si="5"/>
        <v>0</v>
      </c>
      <c r="Q23" s="179">
        <f t="shared" si="6"/>
        <v>13.6</v>
      </c>
      <c r="R23" s="179">
        <f t="shared" si="7"/>
        <v>0</v>
      </c>
      <c r="S23" s="179">
        <f t="shared" si="8"/>
        <v>0</v>
      </c>
      <c r="T23" s="179">
        <f t="shared" si="9"/>
        <v>14</v>
      </c>
      <c r="U23" s="148">
        <f>SUM(G65:G67)</f>
        <v>2</v>
      </c>
      <c r="V23" s="120" t="s">
        <v>288</v>
      </c>
      <c r="W23" s="148">
        <f>SUM(F65:F67)</f>
        <v>3</v>
      </c>
      <c r="X23" s="181">
        <f t="shared" si="10"/>
        <v>0.5</v>
      </c>
      <c r="Y23" s="179">
        <f>X65</f>
        <v>1.2000000000000002</v>
      </c>
      <c r="Z23" s="179">
        <f>X66</f>
        <v>2.4</v>
      </c>
      <c r="AA23" s="179">
        <f>X67</f>
        <v>3</v>
      </c>
      <c r="AB23" s="179">
        <f t="shared" si="11"/>
        <v>2.2000000000000002</v>
      </c>
      <c r="AC23" s="185">
        <f t="shared" si="12"/>
        <v>3.4</v>
      </c>
      <c r="AD23" s="179">
        <f t="shared" si="13"/>
        <v>4</v>
      </c>
      <c r="AE23" s="179">
        <f t="shared" si="14"/>
        <v>7.48</v>
      </c>
      <c r="AF23" s="179">
        <f t="shared" si="15"/>
        <v>13.6</v>
      </c>
      <c r="AG23" s="179">
        <f t="shared" si="16"/>
        <v>8.8000000000000007</v>
      </c>
      <c r="AH23" s="179">
        <f t="shared" si="17"/>
        <v>29.92</v>
      </c>
      <c r="AI23" s="179">
        <f t="shared" si="18"/>
        <v>62.400000000000006</v>
      </c>
      <c r="AJ23" s="192" t="str">
        <f t="shared" si="19"/>
        <v>Gareth Powell</v>
      </c>
      <c r="AK23" s="1">
        <f t="shared" si="20"/>
        <v>7</v>
      </c>
    </row>
    <row r="24" spans="2:37">
      <c r="B24" s="180"/>
      <c r="C24" s="180" t="str">
        <f>Picks!B24</f>
        <v>Peterborough</v>
      </c>
      <c r="D24" s="181">
        <f>Picks!C24</f>
        <v>6</v>
      </c>
      <c r="E24" s="181">
        <f>Picks!D24</f>
        <v>1.2857142857142856</v>
      </c>
      <c r="F24" s="180">
        <f>IF(C24="","",INDEX(Odds!K:K,MATCH(C24,Odds!G:G,0)))</f>
        <v>1</v>
      </c>
      <c r="G24" s="180">
        <f>IF(C24="","",Picks!M24)</f>
        <v>0</v>
      </c>
      <c r="H24" s="181">
        <f t="shared" si="0"/>
        <v>0</v>
      </c>
      <c r="I24" s="191" t="str">
        <f t="shared" si="1"/>
        <v>Gerard Ventom</v>
      </c>
      <c r="J24" s="179">
        <f>H68</f>
        <v>1.375</v>
      </c>
      <c r="K24" s="179">
        <f>H69</f>
        <v>2</v>
      </c>
      <c r="L24" s="179">
        <f>H70</f>
        <v>3.2</v>
      </c>
      <c r="M24" s="179">
        <f t="shared" si="2"/>
        <v>2.375</v>
      </c>
      <c r="N24" s="179">
        <f t="shared" si="3"/>
        <v>3</v>
      </c>
      <c r="O24" s="179">
        <f t="shared" si="4"/>
        <v>4.2</v>
      </c>
      <c r="P24" s="179">
        <f t="shared" si="5"/>
        <v>7.125</v>
      </c>
      <c r="Q24" s="179">
        <f t="shared" si="6"/>
        <v>12.600000000000001</v>
      </c>
      <c r="R24" s="179">
        <f t="shared" si="7"/>
        <v>9.9750000000000014</v>
      </c>
      <c r="S24" s="179">
        <f t="shared" si="8"/>
        <v>29.925000000000001</v>
      </c>
      <c r="T24" s="179">
        <f t="shared" si="9"/>
        <v>62.2</v>
      </c>
      <c r="U24" s="148">
        <f>SUM(G68:G70)</f>
        <v>3</v>
      </c>
      <c r="V24" s="117" t="s">
        <v>362</v>
      </c>
      <c r="W24" s="148">
        <f>SUM(F68:F70)</f>
        <v>3</v>
      </c>
      <c r="X24" s="181">
        <f t="shared" si="10"/>
        <v>0.28571428571428559</v>
      </c>
      <c r="Y24" s="179">
        <f>X68</f>
        <v>1.375</v>
      </c>
      <c r="Z24" s="179">
        <f>X69</f>
        <v>2</v>
      </c>
      <c r="AA24" s="179">
        <f>X70</f>
        <v>3.2</v>
      </c>
      <c r="AB24" s="179">
        <f t="shared" si="11"/>
        <v>2.375</v>
      </c>
      <c r="AC24" s="185">
        <f t="shared" si="12"/>
        <v>3</v>
      </c>
      <c r="AD24" s="179">
        <f t="shared" si="13"/>
        <v>4.2</v>
      </c>
      <c r="AE24" s="179">
        <f t="shared" si="14"/>
        <v>7.125</v>
      </c>
      <c r="AF24" s="179">
        <f t="shared" si="15"/>
        <v>12.600000000000001</v>
      </c>
      <c r="AG24" s="179">
        <f t="shared" si="16"/>
        <v>9.9750000000000014</v>
      </c>
      <c r="AH24" s="179">
        <f t="shared" si="17"/>
        <v>29.925000000000001</v>
      </c>
      <c r="AI24" s="179">
        <f t="shared" si="18"/>
        <v>62.2</v>
      </c>
      <c r="AJ24" s="192" t="str">
        <f t="shared" si="19"/>
        <v>Gerard Ventom</v>
      </c>
      <c r="AK24" s="1">
        <f t="shared" si="20"/>
        <v>7</v>
      </c>
    </row>
    <row r="25" spans="2:37" ht="13.15" thickBot="1">
      <c r="B25" s="182"/>
      <c r="C25" s="182" t="str">
        <f>Picks!B25</f>
        <v>Stockport</v>
      </c>
      <c r="D25" s="183">
        <f>Picks!C25</f>
        <v>6</v>
      </c>
      <c r="E25" s="183">
        <f>Picks!D25</f>
        <v>1.65</v>
      </c>
      <c r="F25" s="182">
        <f>IF(C25="","",INDEX(Odds!K:K,MATCH(C25,Odds!G:G,0)))</f>
        <v>1</v>
      </c>
      <c r="G25" s="182">
        <f>IF(C25="","",Picks!M25)</f>
        <v>1</v>
      </c>
      <c r="H25" s="183">
        <f t="shared" si="0"/>
        <v>0.64999999999999991</v>
      </c>
      <c r="I25" s="191" t="str">
        <f t="shared" si="1"/>
        <v>Graham Miller</v>
      </c>
      <c r="J25" s="179">
        <f>H71</f>
        <v>0.85000000000000009</v>
      </c>
      <c r="K25" s="179">
        <f>H72</f>
        <v>1.1000000000000001</v>
      </c>
      <c r="L25" s="179">
        <f>H73</f>
        <v>0</v>
      </c>
      <c r="M25" s="179">
        <f t="shared" si="2"/>
        <v>1.85</v>
      </c>
      <c r="N25" s="179">
        <f t="shared" si="3"/>
        <v>2.1</v>
      </c>
      <c r="O25" s="179">
        <f t="shared" si="4"/>
        <v>0</v>
      </c>
      <c r="P25" s="179">
        <f t="shared" si="5"/>
        <v>3.8850000000000002</v>
      </c>
      <c r="Q25" s="179">
        <f t="shared" si="6"/>
        <v>0</v>
      </c>
      <c r="R25" s="179">
        <f t="shared" si="7"/>
        <v>0</v>
      </c>
      <c r="S25" s="179">
        <f t="shared" si="8"/>
        <v>0</v>
      </c>
      <c r="T25" s="179">
        <f t="shared" si="9"/>
        <v>0.83500000000000085</v>
      </c>
      <c r="U25" s="148">
        <f>SUM(G71:G73)</f>
        <v>2</v>
      </c>
      <c r="V25" s="117" t="s">
        <v>276</v>
      </c>
      <c r="W25" s="148">
        <f>SUM(F71:F73)</f>
        <v>3</v>
      </c>
      <c r="X25" s="181">
        <f t="shared" si="10"/>
        <v>0.64999999999999991</v>
      </c>
      <c r="Y25" s="179">
        <f>X71</f>
        <v>0.85000000000000009</v>
      </c>
      <c r="Z25" s="179">
        <f>X72</f>
        <v>1.1000000000000001</v>
      </c>
      <c r="AA25" s="179">
        <f>X73</f>
        <v>1.9</v>
      </c>
      <c r="AB25" s="179">
        <f t="shared" si="11"/>
        <v>1.85</v>
      </c>
      <c r="AC25" s="185">
        <f t="shared" si="12"/>
        <v>2.1</v>
      </c>
      <c r="AD25" s="179">
        <f t="shared" si="13"/>
        <v>2.9</v>
      </c>
      <c r="AE25" s="179">
        <f t="shared" si="14"/>
        <v>3.8850000000000002</v>
      </c>
      <c r="AF25" s="179">
        <f t="shared" si="15"/>
        <v>6.09</v>
      </c>
      <c r="AG25" s="179">
        <f t="shared" si="16"/>
        <v>5.3650000000000002</v>
      </c>
      <c r="AH25" s="179">
        <f t="shared" si="17"/>
        <v>11.266500000000001</v>
      </c>
      <c r="AI25" s="179">
        <f t="shared" si="18"/>
        <v>26.456499999999998</v>
      </c>
      <c r="AJ25" s="192" t="str">
        <f t="shared" si="19"/>
        <v>Graham Miller</v>
      </c>
      <c r="AK25" s="1">
        <f t="shared" si="20"/>
        <v>7</v>
      </c>
    </row>
    <row r="26" spans="2:37">
      <c r="B26" s="181" t="str">
        <f>$V10</f>
        <v>Ben Rosser</v>
      </c>
      <c r="C26" s="180" t="str">
        <f>Picks!B26</f>
        <v>Forest</v>
      </c>
      <c r="D26" s="181">
        <f>Picks!C26</f>
        <v>7</v>
      </c>
      <c r="E26" s="181">
        <f>Picks!D26</f>
        <v>2.2000000000000002</v>
      </c>
      <c r="F26" s="180">
        <f>IF(C26="","",INDEX(Odds!K:K,MATCH(C26,Odds!G:G,0)))</f>
        <v>1</v>
      </c>
      <c r="G26" s="180">
        <f>IF(C26="","",Picks!M26)</f>
        <v>0</v>
      </c>
      <c r="H26" s="181">
        <f t="shared" si="0"/>
        <v>0</v>
      </c>
      <c r="I26" s="191" t="str">
        <f t="shared" si="1"/>
        <v>Howard Bradley</v>
      </c>
      <c r="J26" s="179">
        <f>H74</f>
        <v>0</v>
      </c>
      <c r="K26" s="179">
        <f>H75</f>
        <v>0</v>
      </c>
      <c r="L26" s="179">
        <f>H76</f>
        <v>1</v>
      </c>
      <c r="M26" s="179">
        <f t="shared" si="2"/>
        <v>0</v>
      </c>
      <c r="N26" s="179">
        <f t="shared" si="3"/>
        <v>0</v>
      </c>
      <c r="O26" s="179">
        <f t="shared" si="4"/>
        <v>2</v>
      </c>
      <c r="P26" s="179">
        <f t="shared" si="5"/>
        <v>0</v>
      </c>
      <c r="Q26" s="179">
        <f t="shared" si="6"/>
        <v>0</v>
      </c>
      <c r="R26" s="179">
        <f t="shared" si="7"/>
        <v>0</v>
      </c>
      <c r="S26" s="179">
        <f t="shared" si="8"/>
        <v>0</v>
      </c>
      <c r="T26" s="179">
        <f t="shared" si="9"/>
        <v>-5</v>
      </c>
      <c r="U26" s="148">
        <f>SUM(G74:G76)</f>
        <v>1</v>
      </c>
      <c r="V26" s="120" t="s">
        <v>293</v>
      </c>
      <c r="W26" s="148">
        <f>SUM(F74:F76)</f>
        <v>3</v>
      </c>
      <c r="X26" s="181">
        <f t="shared" si="10"/>
        <v>1.2000000000000002</v>
      </c>
      <c r="Y26" s="179">
        <f>X74</f>
        <v>0.8</v>
      </c>
      <c r="Z26" s="179">
        <f>X75</f>
        <v>0.90909090909090917</v>
      </c>
      <c r="AA26" s="179">
        <f>X76</f>
        <v>1</v>
      </c>
      <c r="AB26" s="179">
        <f t="shared" si="11"/>
        <v>1.8</v>
      </c>
      <c r="AC26" s="185">
        <f t="shared" si="12"/>
        <v>1.9090909090909092</v>
      </c>
      <c r="AD26" s="179">
        <f t="shared" si="13"/>
        <v>2</v>
      </c>
      <c r="AE26" s="179">
        <f t="shared" si="14"/>
        <v>3.4363636363636365</v>
      </c>
      <c r="AF26" s="179">
        <f t="shared" si="15"/>
        <v>3.8181818181818183</v>
      </c>
      <c r="AG26" s="179">
        <f t="shared" si="16"/>
        <v>3.6</v>
      </c>
      <c r="AH26" s="179">
        <f t="shared" si="17"/>
        <v>6.872727272727273</v>
      </c>
      <c r="AI26" s="179">
        <f t="shared" si="18"/>
        <v>16.436363636363637</v>
      </c>
      <c r="AJ26" s="192" t="str">
        <f t="shared" si="19"/>
        <v>Howard Bradley</v>
      </c>
      <c r="AK26" s="1">
        <f t="shared" si="20"/>
        <v>7</v>
      </c>
    </row>
    <row r="27" spans="2:37">
      <c r="B27" s="180"/>
      <c r="C27" s="180" t="str">
        <f>Picks!B27</f>
        <v>West Ham</v>
      </c>
      <c r="D27" s="181">
        <f>Picks!C27</f>
        <v>7</v>
      </c>
      <c r="E27" s="181">
        <f>Picks!D27</f>
        <v>3.7</v>
      </c>
      <c r="F27" s="180">
        <f>IF(C27="","",INDEX(Odds!K:K,MATCH(C27,Odds!G:G,0)))</f>
        <v>1</v>
      </c>
      <c r="G27" s="180">
        <f>IF(C27="","",Picks!M27)</f>
        <v>0</v>
      </c>
      <c r="H27" s="181">
        <f t="shared" si="0"/>
        <v>0</v>
      </c>
      <c r="I27" s="191" t="str">
        <f t="shared" si="1"/>
        <v>Jack Walsh</v>
      </c>
      <c r="J27" s="179">
        <f>H77</f>
        <v>0.95</v>
      </c>
      <c r="K27" s="179">
        <f>H78</f>
        <v>0.53333333333333321</v>
      </c>
      <c r="L27" s="179">
        <f>H79</f>
        <v>0</v>
      </c>
      <c r="M27" s="179">
        <f t="shared" si="2"/>
        <v>1.95</v>
      </c>
      <c r="N27" s="179">
        <f t="shared" si="3"/>
        <v>1.5333333333333332</v>
      </c>
      <c r="O27" s="179">
        <f t="shared" si="4"/>
        <v>0</v>
      </c>
      <c r="P27" s="179">
        <f t="shared" si="5"/>
        <v>2.9899999999999998</v>
      </c>
      <c r="Q27" s="179">
        <f t="shared" si="6"/>
        <v>0</v>
      </c>
      <c r="R27" s="179">
        <f t="shared" si="7"/>
        <v>0</v>
      </c>
      <c r="S27" s="179">
        <f t="shared" si="8"/>
        <v>0</v>
      </c>
      <c r="T27" s="179">
        <f t="shared" si="9"/>
        <v>-0.52666666666666728</v>
      </c>
      <c r="U27" s="148">
        <f>SUM(G77:G79)</f>
        <v>2</v>
      </c>
      <c r="V27" s="117" t="s">
        <v>303</v>
      </c>
      <c r="W27" s="148">
        <f>SUM(F77:F79)</f>
        <v>3</v>
      </c>
      <c r="X27" s="181">
        <f t="shared" si="10"/>
        <v>2.7</v>
      </c>
      <c r="Y27" s="179">
        <f>X77</f>
        <v>0.95</v>
      </c>
      <c r="Z27" s="179">
        <f>X78</f>
        <v>0.53333333333333321</v>
      </c>
      <c r="AA27" s="179">
        <f>X79</f>
        <v>0.8</v>
      </c>
      <c r="AB27" s="179">
        <f t="shared" si="11"/>
        <v>1.95</v>
      </c>
      <c r="AC27" s="185">
        <f t="shared" si="12"/>
        <v>1.5333333333333332</v>
      </c>
      <c r="AD27" s="179">
        <f t="shared" si="13"/>
        <v>1.8</v>
      </c>
      <c r="AE27" s="179">
        <f t="shared" si="14"/>
        <v>2.9899999999999998</v>
      </c>
      <c r="AF27" s="179">
        <f t="shared" si="15"/>
        <v>2.76</v>
      </c>
      <c r="AG27" s="179">
        <f t="shared" si="16"/>
        <v>3.51</v>
      </c>
      <c r="AH27" s="179">
        <f t="shared" si="17"/>
        <v>5.3819999999999997</v>
      </c>
      <c r="AI27" s="179">
        <f t="shared" si="18"/>
        <v>12.925333333333334</v>
      </c>
      <c r="AJ27" s="192" t="str">
        <f t="shared" si="19"/>
        <v>Jack Walsh</v>
      </c>
      <c r="AK27" s="1">
        <f t="shared" si="20"/>
        <v>7</v>
      </c>
    </row>
    <row r="28" spans="2:37" ht="13.15" thickBot="1">
      <c r="B28" s="182"/>
      <c r="C28" s="182" t="str">
        <f>Picks!B28</f>
        <v>Arsenal</v>
      </c>
      <c r="D28" s="183">
        <f>Picks!C28</f>
        <v>1</v>
      </c>
      <c r="E28" s="183">
        <f>Picks!D28</f>
        <v>3.8</v>
      </c>
      <c r="F28" s="182">
        <f>IF(C28="","",INDEX(Odds!K:K,MATCH(C28,Odds!G:G,0)))</f>
        <v>1</v>
      </c>
      <c r="G28" s="182">
        <f>IF(C28="","",Picks!M28)</f>
        <v>0</v>
      </c>
      <c r="H28" s="183">
        <f t="shared" si="0"/>
        <v>0</v>
      </c>
      <c r="I28" s="191" t="str">
        <f t="shared" si="1"/>
        <v>John Murphy</v>
      </c>
      <c r="J28" s="179" t="str">
        <f>H80</f>
        <v/>
      </c>
      <c r="K28" s="179" t="str">
        <f>H81</f>
        <v/>
      </c>
      <c r="L28" s="179" t="str">
        <f>H82</f>
        <v/>
      </c>
      <c r="M28" s="179" t="e">
        <f t="shared" si="2"/>
        <v>#VALUE!</v>
      </c>
      <c r="N28" s="179" t="e">
        <f t="shared" si="3"/>
        <v>#VALUE!</v>
      </c>
      <c r="O28" s="179" t="e">
        <f t="shared" si="4"/>
        <v>#VALUE!</v>
      </c>
      <c r="P28" s="179" t="e">
        <f t="shared" si="5"/>
        <v>#VALUE!</v>
      </c>
      <c r="Q28" s="179" t="e">
        <f t="shared" si="6"/>
        <v>#VALUE!</v>
      </c>
      <c r="R28" s="179" t="e">
        <f t="shared" si="7"/>
        <v>#VALUE!</v>
      </c>
      <c r="S28" s="179" t="e">
        <f t="shared" si="8"/>
        <v>#VALUE!</v>
      </c>
      <c r="T28" s="179" t="e">
        <f t="shared" si="9"/>
        <v>#VALUE!</v>
      </c>
      <c r="U28" s="148">
        <f>SUM(G80:G82)</f>
        <v>0</v>
      </c>
      <c r="V28" s="117" t="s">
        <v>506</v>
      </c>
      <c r="W28" s="148">
        <f>SUM(F80:F82)</f>
        <v>0</v>
      </c>
      <c r="X28" s="181">
        <f t="shared" si="10"/>
        <v>2.8</v>
      </c>
      <c r="Y28" s="179" t="e">
        <f>X80</f>
        <v>#VALUE!</v>
      </c>
      <c r="Z28" s="179" t="e">
        <f>X81</f>
        <v>#VALUE!</v>
      </c>
      <c r="AA28" s="179" t="e">
        <f>X82</f>
        <v>#VALUE!</v>
      </c>
      <c r="AB28" s="179" t="e">
        <f t="shared" si="11"/>
        <v>#VALUE!</v>
      </c>
      <c r="AC28" s="185" t="e">
        <f t="shared" si="12"/>
        <v>#VALUE!</v>
      </c>
      <c r="AD28" s="179" t="e">
        <f t="shared" si="13"/>
        <v>#VALUE!</v>
      </c>
      <c r="AE28" s="179" t="e">
        <f t="shared" si="14"/>
        <v>#VALUE!</v>
      </c>
      <c r="AF28" s="179" t="e">
        <f t="shared" si="15"/>
        <v>#VALUE!</v>
      </c>
      <c r="AG28" s="179" t="e">
        <f t="shared" si="16"/>
        <v>#VALUE!</v>
      </c>
      <c r="AH28" s="179" t="e">
        <f t="shared" si="17"/>
        <v>#VALUE!</v>
      </c>
      <c r="AI28" s="179" t="e">
        <f t="shared" si="18"/>
        <v>#VALUE!</v>
      </c>
      <c r="AJ28" s="192" t="str">
        <f t="shared" si="19"/>
        <v>John Murphy</v>
      </c>
      <c r="AK28" s="1">
        <f t="shared" si="20"/>
        <v>1</v>
      </c>
    </row>
    <row r="29" spans="2:37">
      <c r="B29" s="181" t="str">
        <f>$V11</f>
        <v>Bob Bailey</v>
      </c>
      <c r="C29" s="180" t="str">
        <f>Picks!B29</f>
        <v/>
      </c>
      <c r="D29" s="181" t="str">
        <f>Picks!C29</f>
        <v/>
      </c>
      <c r="E29" s="181" t="str">
        <f>Picks!D29</f>
        <v/>
      </c>
      <c r="F29" s="180" t="str">
        <f>IF(C29="","",INDEX(Odds!K:K,MATCH(C29,Odds!G:G,0)))</f>
        <v/>
      </c>
      <c r="G29" s="180" t="str">
        <f>IF(C29="","",Picks!M29)</f>
        <v/>
      </c>
      <c r="H29" s="181" t="str">
        <f t="shared" si="0"/>
        <v/>
      </c>
      <c r="I29" s="191" t="str">
        <f t="shared" si="1"/>
        <v>Julie Dodd</v>
      </c>
      <c r="J29" s="179" t="str">
        <f>H83</f>
        <v/>
      </c>
      <c r="K29" s="179" t="str">
        <f>H84</f>
        <v/>
      </c>
      <c r="L29" s="179" t="str">
        <f>H85</f>
        <v/>
      </c>
      <c r="M29" s="179" t="e">
        <f t="shared" si="2"/>
        <v>#VALUE!</v>
      </c>
      <c r="N29" s="179" t="e">
        <f t="shared" si="3"/>
        <v>#VALUE!</v>
      </c>
      <c r="O29" s="179" t="e">
        <f t="shared" si="4"/>
        <v>#VALUE!</v>
      </c>
      <c r="P29" s="179" t="e">
        <f t="shared" si="5"/>
        <v>#VALUE!</v>
      </c>
      <c r="Q29" s="179" t="e">
        <f t="shared" si="6"/>
        <v>#VALUE!</v>
      </c>
      <c r="R29" s="179" t="e">
        <f t="shared" si="7"/>
        <v>#VALUE!</v>
      </c>
      <c r="S29" s="179" t="e">
        <f t="shared" si="8"/>
        <v>#VALUE!</v>
      </c>
      <c r="T29" s="179" t="e">
        <f t="shared" si="9"/>
        <v>#VALUE!</v>
      </c>
      <c r="U29" s="148">
        <f>SUM(G83:G85)</f>
        <v>0</v>
      </c>
      <c r="V29" s="117" t="s">
        <v>515</v>
      </c>
      <c r="W29" s="148">
        <f>SUM(F83:F85)</f>
        <v>0</v>
      </c>
      <c r="X29" s="181" t="e">
        <f t="shared" si="10"/>
        <v>#VALUE!</v>
      </c>
      <c r="Y29" s="179" t="e">
        <f>X83</f>
        <v>#VALUE!</v>
      </c>
      <c r="Z29" s="179" t="e">
        <f>X84</f>
        <v>#VALUE!</v>
      </c>
      <c r="AA29" s="179" t="e">
        <f>X85</f>
        <v>#VALUE!</v>
      </c>
      <c r="AB29" s="179" t="e">
        <f t="shared" si="11"/>
        <v>#VALUE!</v>
      </c>
      <c r="AC29" s="185" t="e">
        <f t="shared" si="12"/>
        <v>#VALUE!</v>
      </c>
      <c r="AD29" s="179" t="e">
        <f t="shared" si="13"/>
        <v>#VALUE!</v>
      </c>
      <c r="AE29" s="179" t="e">
        <f t="shared" si="14"/>
        <v>#VALUE!</v>
      </c>
      <c r="AF29" s="179" t="e">
        <f t="shared" si="15"/>
        <v>#VALUE!</v>
      </c>
      <c r="AG29" s="179" t="e">
        <f t="shared" si="16"/>
        <v>#VALUE!</v>
      </c>
      <c r="AH29" s="179" t="e">
        <f t="shared" si="17"/>
        <v>#VALUE!</v>
      </c>
      <c r="AI29" s="179" t="e">
        <f t="shared" si="18"/>
        <v>#VALUE!</v>
      </c>
      <c r="AJ29" s="192" t="str">
        <f t="shared" si="19"/>
        <v>Julie Dodd</v>
      </c>
      <c r="AK29" s="1">
        <f t="shared" si="20"/>
        <v>1</v>
      </c>
    </row>
    <row r="30" spans="2:37">
      <c r="B30" s="180"/>
      <c r="C30" s="180" t="str">
        <f>Picks!B30</f>
        <v/>
      </c>
      <c r="D30" s="181" t="str">
        <f>Picks!C30</f>
        <v/>
      </c>
      <c r="E30" s="181" t="str">
        <f>Picks!D30</f>
        <v/>
      </c>
      <c r="F30" s="180" t="str">
        <f>IF(C30="","",INDEX(Odds!K:K,MATCH(C30,Odds!G:G,0)))</f>
        <v/>
      </c>
      <c r="G30" s="180" t="str">
        <f>IF(C30="","",Picks!M30)</f>
        <v/>
      </c>
      <c r="H30" s="181" t="str">
        <f t="shared" si="0"/>
        <v/>
      </c>
      <c r="I30" s="191" t="str">
        <f t="shared" si="1"/>
        <v>Kevin Carter</v>
      </c>
      <c r="J30" s="179">
        <f>H86</f>
        <v>0</v>
      </c>
      <c r="K30" s="179">
        <f>H87</f>
        <v>0.53333333333333321</v>
      </c>
      <c r="L30" s="179">
        <f>H88</f>
        <v>0.90909090909090917</v>
      </c>
      <c r="M30" s="179">
        <f t="shared" si="2"/>
        <v>0</v>
      </c>
      <c r="N30" s="179">
        <f t="shared" si="3"/>
        <v>1.5333333333333332</v>
      </c>
      <c r="O30" s="179">
        <f t="shared" si="4"/>
        <v>1.9090909090909092</v>
      </c>
      <c r="P30" s="179">
        <f t="shared" si="5"/>
        <v>0</v>
      </c>
      <c r="Q30" s="179">
        <f t="shared" si="6"/>
        <v>2.9272727272727272</v>
      </c>
      <c r="R30" s="179">
        <f t="shared" si="7"/>
        <v>0</v>
      </c>
      <c r="S30" s="179">
        <f t="shared" si="8"/>
        <v>0</v>
      </c>
      <c r="T30" s="179">
        <f t="shared" si="9"/>
        <v>-0.63030303030303081</v>
      </c>
      <c r="U30" s="148">
        <f>SUM(G86:G88)</f>
        <v>2</v>
      </c>
      <c r="V30" s="119" t="s">
        <v>294</v>
      </c>
      <c r="W30" s="148">
        <f>SUM(F86:F88)</f>
        <v>3</v>
      </c>
      <c r="X30" s="181" t="e">
        <f t="shared" si="10"/>
        <v>#VALUE!</v>
      </c>
      <c r="Y30" s="179">
        <f>X86</f>
        <v>0.61538461538461542</v>
      </c>
      <c r="Z30" s="179">
        <f>X87</f>
        <v>0.53333333333333321</v>
      </c>
      <c r="AA30" s="179">
        <f>X88</f>
        <v>0.90909090909090917</v>
      </c>
      <c r="AB30" s="179">
        <f t="shared" si="11"/>
        <v>1.6153846153846154</v>
      </c>
      <c r="AC30" s="185">
        <f t="shared" si="12"/>
        <v>1.5333333333333332</v>
      </c>
      <c r="AD30" s="179">
        <f t="shared" si="13"/>
        <v>1.9090909090909092</v>
      </c>
      <c r="AE30" s="179">
        <f t="shared" si="14"/>
        <v>2.476923076923077</v>
      </c>
      <c r="AF30" s="179">
        <f t="shared" si="15"/>
        <v>2.9272727272727272</v>
      </c>
      <c r="AG30" s="179">
        <f t="shared" si="16"/>
        <v>3.0839160839160842</v>
      </c>
      <c r="AH30" s="179">
        <f t="shared" si="17"/>
        <v>4.7286713286713287</v>
      </c>
      <c r="AI30" s="179">
        <f t="shared" si="18"/>
        <v>11.274592074592075</v>
      </c>
      <c r="AJ30" s="192" t="str">
        <f t="shared" si="19"/>
        <v>Kevin Carter</v>
      </c>
      <c r="AK30" s="1">
        <f t="shared" si="20"/>
        <v>7</v>
      </c>
    </row>
    <row r="31" spans="2:37" ht="13.15" thickBot="1">
      <c r="B31" s="182"/>
      <c r="C31" s="182" t="str">
        <f>Picks!B31</f>
        <v/>
      </c>
      <c r="D31" s="183" t="str">
        <f>Picks!C31</f>
        <v/>
      </c>
      <c r="E31" s="183" t="str">
        <f>Picks!D31</f>
        <v/>
      </c>
      <c r="F31" s="182" t="str">
        <f>IF(C31="","",INDEX(Odds!K:K,MATCH(C31,Odds!G:G,0)))</f>
        <v/>
      </c>
      <c r="G31" s="182" t="str">
        <f>IF(C31="","",Picks!M31)</f>
        <v/>
      </c>
      <c r="H31" s="183" t="str">
        <f t="shared" si="0"/>
        <v/>
      </c>
      <c r="I31" s="191" t="str">
        <f t="shared" si="1"/>
        <v>Lennie Bow</v>
      </c>
      <c r="J31" s="179">
        <f>H89</f>
        <v>0.5</v>
      </c>
      <c r="K31" s="179">
        <f>H90</f>
        <v>0</v>
      </c>
      <c r="L31" s="179">
        <f>H91</f>
        <v>0</v>
      </c>
      <c r="M31" s="179">
        <f t="shared" si="2"/>
        <v>1.5</v>
      </c>
      <c r="N31" s="179">
        <f t="shared" si="3"/>
        <v>0</v>
      </c>
      <c r="O31" s="179">
        <f t="shared" si="4"/>
        <v>0</v>
      </c>
      <c r="P31" s="179">
        <f t="shared" si="5"/>
        <v>0</v>
      </c>
      <c r="Q31" s="179">
        <f t="shared" si="6"/>
        <v>0</v>
      </c>
      <c r="R31" s="179">
        <f t="shared" si="7"/>
        <v>0</v>
      </c>
      <c r="S31" s="179">
        <f t="shared" si="8"/>
        <v>0</v>
      </c>
      <c r="T31" s="179">
        <f t="shared" si="9"/>
        <v>-5.5</v>
      </c>
      <c r="U31" s="148">
        <f>SUM(G89:G91)</f>
        <v>1</v>
      </c>
      <c r="V31" s="117" t="s">
        <v>282</v>
      </c>
      <c r="W31" s="148">
        <f>SUM(F89:F91)</f>
        <v>3</v>
      </c>
      <c r="X31" s="181" t="e">
        <f t="shared" si="10"/>
        <v>#VALUE!</v>
      </c>
      <c r="Y31" s="179">
        <f>X89</f>
        <v>0.5</v>
      </c>
      <c r="Z31" s="179">
        <f>X90</f>
        <v>0.53333333333333321</v>
      </c>
      <c r="AA31" s="179">
        <f>X91</f>
        <v>0.28571428571428559</v>
      </c>
      <c r="AB31" s="179">
        <f t="shared" si="11"/>
        <v>1.5</v>
      </c>
      <c r="AC31" s="185">
        <f t="shared" si="12"/>
        <v>1.5333333333333332</v>
      </c>
      <c r="AD31" s="179">
        <f t="shared" si="13"/>
        <v>1.2857142857142856</v>
      </c>
      <c r="AE31" s="179">
        <f t="shared" si="14"/>
        <v>2.2999999999999998</v>
      </c>
      <c r="AF31" s="179">
        <f t="shared" si="15"/>
        <v>1.9714285714285711</v>
      </c>
      <c r="AG31" s="179">
        <f t="shared" si="16"/>
        <v>1.9285714285714284</v>
      </c>
      <c r="AH31" s="179">
        <f t="shared" si="17"/>
        <v>2.9571428571428564</v>
      </c>
      <c r="AI31" s="179">
        <f t="shared" si="18"/>
        <v>6.4761904761904745</v>
      </c>
      <c r="AJ31" s="192" t="str">
        <f t="shared" si="19"/>
        <v>Lennie Bow</v>
      </c>
      <c r="AK31" s="1">
        <f t="shared" si="20"/>
        <v>7</v>
      </c>
    </row>
    <row r="32" spans="2:37">
      <c r="B32" s="180" t="str">
        <f>$V12</f>
        <v>Charlie Griffiths</v>
      </c>
      <c r="C32" s="180" t="str">
        <f>Picks!B32</f>
        <v>Newport</v>
      </c>
      <c r="D32" s="181">
        <f>Picks!C32</f>
        <v>6</v>
      </c>
      <c r="E32" s="181">
        <f>Picks!D32</f>
        <v>3.5</v>
      </c>
      <c r="F32" s="180">
        <f>IF(C32="","",INDEX(Odds!K:K,MATCH(C32,Odds!G:G,0)))</f>
        <v>1</v>
      </c>
      <c r="G32" s="180">
        <f>IF(C32="","",Picks!M32)</f>
        <v>0</v>
      </c>
      <c r="H32" s="181">
        <f t="shared" si="0"/>
        <v>0</v>
      </c>
      <c r="I32" s="191" t="str">
        <f t="shared" si="1"/>
        <v>Mark Bunn</v>
      </c>
      <c r="J32" s="179">
        <f>H92</f>
        <v>0</v>
      </c>
      <c r="K32" s="179">
        <f>H93</f>
        <v>1.375</v>
      </c>
      <c r="L32" s="179">
        <f>H94</f>
        <v>0</v>
      </c>
      <c r="M32" s="179">
        <f t="shared" si="2"/>
        <v>0</v>
      </c>
      <c r="N32" s="179">
        <f t="shared" si="3"/>
        <v>2.375</v>
      </c>
      <c r="O32" s="179">
        <f t="shared" si="4"/>
        <v>0</v>
      </c>
      <c r="P32" s="179">
        <f t="shared" si="5"/>
        <v>0</v>
      </c>
      <c r="Q32" s="179">
        <f t="shared" si="6"/>
        <v>0</v>
      </c>
      <c r="R32" s="179">
        <f t="shared" si="7"/>
        <v>0</v>
      </c>
      <c r="S32" s="179">
        <f t="shared" si="8"/>
        <v>0</v>
      </c>
      <c r="T32" s="179">
        <f t="shared" si="9"/>
        <v>-4.625</v>
      </c>
      <c r="U32" s="148">
        <f>SUM(G92:G94)</f>
        <v>1</v>
      </c>
      <c r="V32" s="119" t="s">
        <v>283</v>
      </c>
      <c r="W32" s="148">
        <f>SUM(F92:F94)</f>
        <v>3</v>
      </c>
      <c r="X32" s="181">
        <f t="shared" si="10"/>
        <v>2.5</v>
      </c>
      <c r="Y32" s="179">
        <f>X92</f>
        <v>1.6</v>
      </c>
      <c r="Z32" s="179">
        <f>X93</f>
        <v>1.375</v>
      </c>
      <c r="AA32" s="179">
        <f>X94</f>
        <v>2.5</v>
      </c>
      <c r="AB32" s="179">
        <f t="shared" si="11"/>
        <v>2.6</v>
      </c>
      <c r="AC32" s="185">
        <f t="shared" si="12"/>
        <v>2.375</v>
      </c>
      <c r="AD32" s="179">
        <f t="shared" si="13"/>
        <v>3.5</v>
      </c>
      <c r="AE32" s="179">
        <f t="shared" si="14"/>
        <v>6.1750000000000007</v>
      </c>
      <c r="AF32" s="179">
        <f t="shared" si="15"/>
        <v>8.3125</v>
      </c>
      <c r="AG32" s="179">
        <f t="shared" si="16"/>
        <v>9.1000000000000014</v>
      </c>
      <c r="AH32" s="179">
        <f t="shared" si="17"/>
        <v>21.612500000000004</v>
      </c>
      <c r="AI32" s="179">
        <f t="shared" si="18"/>
        <v>46.675000000000004</v>
      </c>
      <c r="AJ32" s="192" t="str">
        <f t="shared" si="19"/>
        <v>Mark Bunn</v>
      </c>
      <c r="AK32" s="1">
        <f t="shared" si="20"/>
        <v>7</v>
      </c>
    </row>
    <row r="33" spans="2:37">
      <c r="B33" s="180"/>
      <c r="C33" s="180" t="str">
        <f>Picks!B33</f>
        <v>Portsmouth</v>
      </c>
      <c r="D33" s="181">
        <f>Picks!C33</f>
        <v>6</v>
      </c>
      <c r="E33" s="181">
        <f>Picks!D33</f>
        <v>2.15</v>
      </c>
      <c r="F33" s="180">
        <f>IF(C33="","",INDEX(Odds!K:K,MATCH(C33,Odds!G:G,0)))</f>
        <v>1</v>
      </c>
      <c r="G33" s="180">
        <f>IF(C33="","",Picks!M33)</f>
        <v>1</v>
      </c>
      <c r="H33" s="181">
        <f t="shared" si="0"/>
        <v>1.1499999999999999</v>
      </c>
      <c r="I33" s="191" t="str">
        <f t="shared" si="1"/>
        <v>Mark Saunders</v>
      </c>
      <c r="J33" s="179">
        <f>H95</f>
        <v>1.2999999999999998</v>
      </c>
      <c r="K33" s="179">
        <f>H96</f>
        <v>0</v>
      </c>
      <c r="L33" s="179">
        <f>H97</f>
        <v>0</v>
      </c>
      <c r="M33" s="179">
        <f t="shared" si="2"/>
        <v>2.2999999999999998</v>
      </c>
      <c r="N33" s="179">
        <f t="shared" si="3"/>
        <v>0</v>
      </c>
      <c r="O33" s="179">
        <f t="shared" si="4"/>
        <v>0</v>
      </c>
      <c r="P33" s="179">
        <f t="shared" si="5"/>
        <v>0</v>
      </c>
      <c r="Q33" s="179">
        <f t="shared" si="6"/>
        <v>0</v>
      </c>
      <c r="R33" s="179">
        <f t="shared" si="7"/>
        <v>0</v>
      </c>
      <c r="S33" s="179">
        <f t="shared" si="8"/>
        <v>0</v>
      </c>
      <c r="T33" s="179">
        <f t="shared" si="9"/>
        <v>-4.7</v>
      </c>
      <c r="U33" s="148">
        <f>SUM(G95:G97)</f>
        <v>1</v>
      </c>
      <c r="V33" s="117" t="s">
        <v>278</v>
      </c>
      <c r="W33" s="148">
        <f>SUM(F95:F97)</f>
        <v>3</v>
      </c>
      <c r="X33" s="181">
        <f t="shared" si="10"/>
        <v>1.1499999999999999</v>
      </c>
      <c r="Y33" s="179">
        <f>X95</f>
        <v>1.2999999999999998</v>
      </c>
      <c r="Z33" s="179">
        <f>X96</f>
        <v>2.2000000000000002</v>
      </c>
      <c r="AA33" s="179">
        <f>X97</f>
        <v>0.83333333333333348</v>
      </c>
      <c r="AB33" s="179">
        <f t="shared" si="11"/>
        <v>2.2999999999999998</v>
      </c>
      <c r="AC33" s="185">
        <f t="shared" si="12"/>
        <v>3.2</v>
      </c>
      <c r="AD33" s="179">
        <f t="shared" si="13"/>
        <v>1.8333333333333335</v>
      </c>
      <c r="AE33" s="179">
        <f t="shared" si="14"/>
        <v>7.3599999999999994</v>
      </c>
      <c r="AF33" s="179">
        <f t="shared" si="15"/>
        <v>5.8666666666666671</v>
      </c>
      <c r="AG33" s="179">
        <f t="shared" si="16"/>
        <v>4.2166666666666668</v>
      </c>
      <c r="AH33" s="179">
        <f t="shared" si="17"/>
        <v>13.493333333333332</v>
      </c>
      <c r="AI33" s="179">
        <f t="shared" si="18"/>
        <v>31.270000000000003</v>
      </c>
      <c r="AJ33" s="192" t="str">
        <f t="shared" si="19"/>
        <v>Mark Saunders</v>
      </c>
      <c r="AK33" s="1">
        <f t="shared" si="20"/>
        <v>7</v>
      </c>
    </row>
    <row r="34" spans="2:37" ht="13.15" thickBot="1">
      <c r="B34" s="182"/>
      <c r="C34" s="182" t="str">
        <f>Picks!B34</f>
        <v>Oxford</v>
      </c>
      <c r="D34" s="183">
        <f>Picks!C34</f>
        <v>6</v>
      </c>
      <c r="E34" s="183">
        <f>Picks!D34</f>
        <v>1.95</v>
      </c>
      <c r="F34" s="182">
        <f>IF(C34="","",INDEX(Odds!K:K,MATCH(C34,Odds!G:G,0)))</f>
        <v>1</v>
      </c>
      <c r="G34" s="182">
        <f>IF(C34="","",Picks!M34)</f>
        <v>0</v>
      </c>
      <c r="H34" s="183">
        <f t="shared" ref="H34:H65" si="21">IF(C34="","",+((E34-1)*G34*F34*A$2))</f>
        <v>0</v>
      </c>
      <c r="I34" s="191" t="str">
        <f t="shared" ref="I34:I51" si="22">V34</f>
        <v>Martin Molyneux</v>
      </c>
      <c r="J34" s="179">
        <f>H98</f>
        <v>0.95</v>
      </c>
      <c r="K34" s="179">
        <f>H99</f>
        <v>0.22222222222222232</v>
      </c>
      <c r="L34" s="179">
        <f>H100</f>
        <v>0.85000000000000009</v>
      </c>
      <c r="M34" s="179">
        <f t="shared" ref="M34:M51" si="23">IF(J34=0,0,1)+J34</f>
        <v>1.95</v>
      </c>
      <c r="N34" s="179">
        <f t="shared" ref="N34:N51" si="24">IF(K34=0,0,1)+K34</f>
        <v>1.2222222222222223</v>
      </c>
      <c r="O34" s="179">
        <f t="shared" ref="O34:O51" si="25">IF(L34=0,0,1)+L34</f>
        <v>1.85</v>
      </c>
      <c r="P34" s="179">
        <f t="shared" ref="P34:P51" si="26">IF(K34=0,0,(M34*K34)+M34)</f>
        <v>2.3833333333333333</v>
      </c>
      <c r="Q34" s="179">
        <f t="shared" ref="Q34:Q51" si="27">IF(L34=0,0,(N34*L34)+N34)</f>
        <v>2.2611111111111111</v>
      </c>
      <c r="R34" s="179">
        <f t="shared" ref="R34:R51" si="28">IF(J34=0,0,(O34*J34)+O34)</f>
        <v>3.6074999999999999</v>
      </c>
      <c r="S34" s="179">
        <f t="shared" ref="S34:S51" si="29">IF(L34=0,0,(P34*L34)+P34)</f>
        <v>4.4091666666666667</v>
      </c>
      <c r="T34" s="179">
        <f t="shared" ref="T34:T51" si="30">SUM(M34:S34)-(IF(W34=1,A$2*1,0))-(IF(W34=2,A$2*3,0))-(IF(W34=3,A$2*7,0))</f>
        <v>10.683333333333334</v>
      </c>
      <c r="U34" s="148">
        <f>SUM(G98:G100)</f>
        <v>3</v>
      </c>
      <c r="V34" s="117" t="s">
        <v>277</v>
      </c>
      <c r="W34" s="148">
        <f>SUM(F98:F100)</f>
        <v>3</v>
      </c>
      <c r="X34" s="181">
        <f t="shared" ref="X34:X65" si="31">+((E34-1)*F34*A$2)</f>
        <v>0.95</v>
      </c>
      <c r="Y34" s="179">
        <f>X98</f>
        <v>0.95</v>
      </c>
      <c r="Z34" s="179">
        <f>X99</f>
        <v>0.22222222222222232</v>
      </c>
      <c r="AA34" s="179">
        <f>X100</f>
        <v>0.85000000000000009</v>
      </c>
      <c r="AB34" s="179">
        <f t="shared" ref="AB34:AB53" si="32">IF(Y34=0,0,1)+Y34</f>
        <v>1.95</v>
      </c>
      <c r="AC34" s="185">
        <f t="shared" ref="AC34:AC53" si="33">IF(Z34=0,0,1)+Z34</f>
        <v>1.2222222222222223</v>
      </c>
      <c r="AD34" s="179">
        <f t="shared" ref="AD34:AD53" si="34">IF(AA34=0,0,1)+AA34</f>
        <v>1.85</v>
      </c>
      <c r="AE34" s="179">
        <f t="shared" ref="AE34:AE53" si="35">IF(Z34=0,0,(AB34*Z34)+AB34)</f>
        <v>2.3833333333333333</v>
      </c>
      <c r="AF34" s="179">
        <f t="shared" ref="AF34:AF53" si="36">IF(AA34=0,0,(AC34*AA34)+AC34)</f>
        <v>2.2611111111111111</v>
      </c>
      <c r="AG34" s="179">
        <f t="shared" ref="AG34:AG53" si="37">IF(Y34=0,0,(AD34*Y34)+AD34)</f>
        <v>3.6074999999999999</v>
      </c>
      <c r="AH34" s="179">
        <f t="shared" ref="AH34:AH53" si="38">IF(AA34=0,0,(AE34*AA34)+AE34)</f>
        <v>4.4091666666666667</v>
      </c>
      <c r="AI34" s="179">
        <f t="shared" ref="AI34:AI53" si="39">SUM(AB34:AH34)-AK34</f>
        <v>10.683333333333334</v>
      </c>
      <c r="AJ34" s="192" t="str">
        <f t="shared" ref="AJ34:AJ53" si="40">$V34</f>
        <v>Martin Molyneux</v>
      </c>
      <c r="AK34" s="1">
        <f t="shared" ref="AK34:AK53" si="41">IF(W34=3,7,IF(W34=2,3,1))</f>
        <v>7</v>
      </c>
    </row>
    <row r="35" spans="2:37">
      <c r="B35" s="180" t="str">
        <f>$V13</f>
        <v>Chris Bow</v>
      </c>
      <c r="C35" s="180" t="str">
        <f>Picks!B35</f>
        <v>Hull</v>
      </c>
      <c r="D35" s="181">
        <f>Picks!C35</f>
        <v>6</v>
      </c>
      <c r="E35" s="181">
        <f>Picks!D35</f>
        <v>1.9090909090909092</v>
      </c>
      <c r="F35" s="180">
        <f>IF(C35="","",INDEX(Odds!K:K,MATCH(C35,Odds!G:G,0)))</f>
        <v>1</v>
      </c>
      <c r="G35" s="180">
        <f>IF(C35="","",Picks!M35)</f>
        <v>0</v>
      </c>
      <c r="H35" s="181">
        <f t="shared" si="21"/>
        <v>0</v>
      </c>
      <c r="I35" s="191" t="str">
        <f t="shared" si="22"/>
        <v>Martin Tarbuck</v>
      </c>
      <c r="J35" s="179">
        <f>H101</f>
        <v>0.53333333333333321</v>
      </c>
      <c r="K35" s="179">
        <f>H102</f>
        <v>0.64999999999999991</v>
      </c>
      <c r="L35" s="179">
        <f>H103</f>
        <v>1</v>
      </c>
      <c r="M35" s="179">
        <f t="shared" si="23"/>
        <v>1.5333333333333332</v>
      </c>
      <c r="N35" s="179">
        <f t="shared" si="24"/>
        <v>1.65</v>
      </c>
      <c r="O35" s="179">
        <f t="shared" si="25"/>
        <v>2</v>
      </c>
      <c r="P35" s="179">
        <f t="shared" si="26"/>
        <v>2.5299999999999998</v>
      </c>
      <c r="Q35" s="179">
        <f t="shared" si="27"/>
        <v>3.3</v>
      </c>
      <c r="R35" s="179">
        <f t="shared" si="28"/>
        <v>3.0666666666666664</v>
      </c>
      <c r="S35" s="179">
        <f t="shared" si="29"/>
        <v>5.0599999999999996</v>
      </c>
      <c r="T35" s="179">
        <f t="shared" si="30"/>
        <v>12.139999999999997</v>
      </c>
      <c r="U35" s="148">
        <f>SUM(G101:G103)</f>
        <v>3</v>
      </c>
      <c r="V35" s="120" t="s">
        <v>365</v>
      </c>
      <c r="W35" s="148">
        <f>SUM(F101:F103)</f>
        <v>3</v>
      </c>
      <c r="X35" s="181">
        <f t="shared" si="31"/>
        <v>0.90909090909090917</v>
      </c>
      <c r="Y35" s="185">
        <f>X101</f>
        <v>0.53333333333333321</v>
      </c>
      <c r="Z35" s="179">
        <f>X102</f>
        <v>0.64999999999999991</v>
      </c>
      <c r="AA35" s="179">
        <f>X103</f>
        <v>1</v>
      </c>
      <c r="AB35" s="179">
        <f t="shared" si="32"/>
        <v>1.5333333333333332</v>
      </c>
      <c r="AC35" s="185">
        <f t="shared" si="33"/>
        <v>1.65</v>
      </c>
      <c r="AD35" s="179">
        <f t="shared" si="34"/>
        <v>2</v>
      </c>
      <c r="AE35" s="179">
        <f t="shared" si="35"/>
        <v>2.5299999999999998</v>
      </c>
      <c r="AF35" s="179">
        <f t="shared" si="36"/>
        <v>3.3</v>
      </c>
      <c r="AG35" s="179">
        <f t="shared" si="37"/>
        <v>3.0666666666666664</v>
      </c>
      <c r="AH35" s="179">
        <f t="shared" si="38"/>
        <v>5.0599999999999996</v>
      </c>
      <c r="AI35" s="179">
        <f t="shared" si="39"/>
        <v>12.139999999999997</v>
      </c>
      <c r="AJ35" s="192" t="str">
        <f t="shared" si="40"/>
        <v>Martin Tarbuck</v>
      </c>
      <c r="AK35" s="1">
        <f t="shared" si="41"/>
        <v>7</v>
      </c>
    </row>
    <row r="36" spans="2:37">
      <c r="B36" s="180"/>
      <c r="C36" s="180" t="str">
        <f>Picks!B36</f>
        <v>QPR</v>
      </c>
      <c r="D36" s="181">
        <f>Picks!C36</f>
        <v>6</v>
      </c>
      <c r="E36" s="181">
        <f>Picks!D36</f>
        <v>2</v>
      </c>
      <c r="F36" s="180">
        <f>IF(C36="","",INDEX(Odds!K:K,MATCH(C36,Odds!G:G,0)))</f>
        <v>1</v>
      </c>
      <c r="G36" s="180">
        <f>IF(C36="","",Picks!M36)</f>
        <v>1</v>
      </c>
      <c r="H36" s="181">
        <f t="shared" si="21"/>
        <v>1</v>
      </c>
      <c r="I36" s="191" t="str">
        <f t="shared" si="22"/>
        <v>Mike Penk</v>
      </c>
      <c r="J36" s="179">
        <f>H104</f>
        <v>1.375</v>
      </c>
      <c r="K36" s="179">
        <f>H105</f>
        <v>0</v>
      </c>
      <c r="L36" s="179">
        <f>H106</f>
        <v>1</v>
      </c>
      <c r="M36" s="179">
        <f t="shared" si="23"/>
        <v>2.375</v>
      </c>
      <c r="N36" s="179">
        <f t="shared" si="24"/>
        <v>0</v>
      </c>
      <c r="O36" s="179">
        <f t="shared" si="25"/>
        <v>2</v>
      </c>
      <c r="P36" s="179">
        <f t="shared" si="26"/>
        <v>0</v>
      </c>
      <c r="Q36" s="179">
        <f t="shared" si="27"/>
        <v>0</v>
      </c>
      <c r="R36" s="179">
        <f t="shared" si="28"/>
        <v>4.75</v>
      </c>
      <c r="S36" s="179">
        <f t="shared" si="29"/>
        <v>0</v>
      </c>
      <c r="T36" s="179">
        <f t="shared" si="30"/>
        <v>2.125</v>
      </c>
      <c r="U36" s="148">
        <f>SUM(G104:G106)</f>
        <v>2</v>
      </c>
      <c r="V36" s="120" t="s">
        <v>287</v>
      </c>
      <c r="W36" s="148">
        <f>SUM(F104:F106)</f>
        <v>3</v>
      </c>
      <c r="X36" s="181">
        <f t="shared" si="31"/>
        <v>1</v>
      </c>
      <c r="Y36" s="179">
        <f>X104</f>
        <v>1.375</v>
      </c>
      <c r="Z36" s="179">
        <f>X105</f>
        <v>1.1000000000000001</v>
      </c>
      <c r="AA36" s="179">
        <f>X106</f>
        <v>1</v>
      </c>
      <c r="AB36" s="179">
        <f t="shared" si="32"/>
        <v>2.375</v>
      </c>
      <c r="AC36" s="185">
        <f t="shared" si="33"/>
        <v>2.1</v>
      </c>
      <c r="AD36" s="179">
        <f t="shared" si="34"/>
        <v>2</v>
      </c>
      <c r="AE36" s="179">
        <f t="shared" si="35"/>
        <v>4.9875000000000007</v>
      </c>
      <c r="AF36" s="179">
        <f t="shared" si="36"/>
        <v>4.2</v>
      </c>
      <c r="AG36" s="179">
        <f t="shared" si="37"/>
        <v>4.75</v>
      </c>
      <c r="AH36" s="179">
        <f t="shared" si="38"/>
        <v>9.9750000000000014</v>
      </c>
      <c r="AI36" s="179">
        <f t="shared" si="39"/>
        <v>23.387500000000003</v>
      </c>
      <c r="AJ36" s="192" t="str">
        <f t="shared" si="40"/>
        <v>Mike Penk</v>
      </c>
      <c r="AK36" s="1">
        <f t="shared" si="41"/>
        <v>7</v>
      </c>
    </row>
    <row r="37" spans="2:37" ht="13.15" thickBot="1">
      <c r="B37" s="182"/>
      <c r="C37" s="182" t="str">
        <f>Picks!B37</f>
        <v>Wigan</v>
      </c>
      <c r="D37" s="183">
        <f>Picks!C37</f>
        <v>6</v>
      </c>
      <c r="E37" s="183">
        <f>Picks!D37</f>
        <v>1.95</v>
      </c>
      <c r="F37" s="182">
        <f>IF(C37="","",INDEX(Odds!K:K,MATCH(C37,Odds!G:G,0)))</f>
        <v>1</v>
      </c>
      <c r="G37" s="182">
        <f>IF(C37="","",Picks!M37)</f>
        <v>0</v>
      </c>
      <c r="H37" s="183">
        <f t="shared" si="21"/>
        <v>0</v>
      </c>
      <c r="I37" s="191" t="str">
        <f t="shared" si="22"/>
        <v>Mo Sudell</v>
      </c>
      <c r="J37" s="179">
        <f>H107</f>
        <v>0.53333333333333321</v>
      </c>
      <c r="K37" s="179">
        <f>H108</f>
        <v>0</v>
      </c>
      <c r="L37" s="179">
        <f>H109</f>
        <v>0</v>
      </c>
      <c r="M37" s="179">
        <f t="shared" si="23"/>
        <v>1.5333333333333332</v>
      </c>
      <c r="N37" s="179">
        <f t="shared" si="24"/>
        <v>0</v>
      </c>
      <c r="O37" s="179">
        <f t="shared" si="25"/>
        <v>0</v>
      </c>
      <c r="P37" s="179">
        <f t="shared" si="26"/>
        <v>0</v>
      </c>
      <c r="Q37" s="179">
        <f t="shared" si="27"/>
        <v>0</v>
      </c>
      <c r="R37" s="179">
        <f t="shared" si="28"/>
        <v>0</v>
      </c>
      <c r="S37" s="179">
        <f t="shared" si="29"/>
        <v>0</v>
      </c>
      <c r="T37" s="179">
        <f t="shared" si="30"/>
        <v>-5.4666666666666668</v>
      </c>
      <c r="U37" s="148">
        <f>SUM(G107:G109)</f>
        <v>1</v>
      </c>
      <c r="V37" s="117" t="s">
        <v>301</v>
      </c>
      <c r="W37" s="148">
        <f>SUM(F107:F109)</f>
        <v>3</v>
      </c>
      <c r="X37" s="181">
        <f t="shared" si="31"/>
        <v>0.95</v>
      </c>
      <c r="Y37" s="179">
        <f>X107</f>
        <v>0.53333333333333321</v>
      </c>
      <c r="Z37" s="179">
        <f>X108</f>
        <v>0.53333333333333321</v>
      </c>
      <c r="AA37" s="179">
        <f>X109</f>
        <v>0.95</v>
      </c>
      <c r="AB37" s="179">
        <f t="shared" si="32"/>
        <v>1.5333333333333332</v>
      </c>
      <c r="AC37" s="185">
        <f t="shared" si="33"/>
        <v>1.5333333333333332</v>
      </c>
      <c r="AD37" s="179">
        <f t="shared" si="34"/>
        <v>1.95</v>
      </c>
      <c r="AE37" s="179">
        <f t="shared" si="35"/>
        <v>2.3511111111111109</v>
      </c>
      <c r="AF37" s="179">
        <f t="shared" si="36"/>
        <v>2.9899999999999998</v>
      </c>
      <c r="AG37" s="179">
        <f t="shared" si="37"/>
        <v>2.9899999999999998</v>
      </c>
      <c r="AH37" s="179">
        <f t="shared" si="38"/>
        <v>4.5846666666666662</v>
      </c>
      <c r="AI37" s="179">
        <f t="shared" si="39"/>
        <v>10.932444444444442</v>
      </c>
      <c r="AJ37" s="192" t="str">
        <f t="shared" si="40"/>
        <v>Mo Sudell</v>
      </c>
      <c r="AK37" s="1">
        <f t="shared" si="41"/>
        <v>7</v>
      </c>
    </row>
    <row r="38" spans="2:37">
      <c r="B38" s="181" t="str">
        <f>$V14</f>
        <v>Chris Griffin</v>
      </c>
      <c r="C38" s="180" t="str">
        <f>Picks!B38</f>
        <v>Coventry</v>
      </c>
      <c r="D38" s="181">
        <f>Picks!C38</f>
        <v>6</v>
      </c>
      <c r="E38" s="181">
        <f>Picks!D38</f>
        <v>2.375</v>
      </c>
      <c r="F38" s="180">
        <f>IF(C38="","",INDEX(Odds!K:K,MATCH(C38,Odds!G:G,0)))</f>
        <v>1</v>
      </c>
      <c r="G38" s="180">
        <f>IF(C38="","",Picks!M38)</f>
        <v>1</v>
      </c>
      <c r="H38" s="181">
        <f t="shared" si="21"/>
        <v>1.375</v>
      </c>
      <c r="I38" s="191" t="str">
        <f t="shared" si="22"/>
        <v>Nick Blocksidge</v>
      </c>
      <c r="J38" s="179" t="str">
        <f>H110</f>
        <v/>
      </c>
      <c r="K38" s="179" t="str">
        <f>H111</f>
        <v/>
      </c>
      <c r="L38" s="179" t="str">
        <f>H112</f>
        <v/>
      </c>
      <c r="M38" s="179" t="e">
        <f t="shared" si="23"/>
        <v>#VALUE!</v>
      </c>
      <c r="N38" s="179" t="e">
        <f t="shared" si="24"/>
        <v>#VALUE!</v>
      </c>
      <c r="O38" s="179" t="e">
        <f t="shared" si="25"/>
        <v>#VALUE!</v>
      </c>
      <c r="P38" s="179" t="e">
        <f t="shared" si="26"/>
        <v>#VALUE!</v>
      </c>
      <c r="Q38" s="179" t="e">
        <f t="shared" si="27"/>
        <v>#VALUE!</v>
      </c>
      <c r="R38" s="179" t="e">
        <f t="shared" si="28"/>
        <v>#VALUE!</v>
      </c>
      <c r="S38" s="179" t="e">
        <f t="shared" si="29"/>
        <v>#VALUE!</v>
      </c>
      <c r="T38" s="179" t="e">
        <f t="shared" si="30"/>
        <v>#VALUE!</v>
      </c>
      <c r="U38" s="148">
        <f>SUM(G110:G112)</f>
        <v>0</v>
      </c>
      <c r="V38" s="117" t="s">
        <v>364</v>
      </c>
      <c r="W38" s="148">
        <f>SUM(F110:F112)</f>
        <v>0</v>
      </c>
      <c r="X38" s="181">
        <f t="shared" si="31"/>
        <v>1.375</v>
      </c>
      <c r="Y38" s="179" t="e">
        <f>X110</f>
        <v>#VALUE!</v>
      </c>
      <c r="Z38" s="179" t="e">
        <f>X111</f>
        <v>#VALUE!</v>
      </c>
      <c r="AA38" s="179" t="e">
        <f>X112</f>
        <v>#VALUE!</v>
      </c>
      <c r="AB38" s="179" t="e">
        <f t="shared" si="32"/>
        <v>#VALUE!</v>
      </c>
      <c r="AC38" s="185" t="e">
        <f t="shared" si="33"/>
        <v>#VALUE!</v>
      </c>
      <c r="AD38" s="179" t="e">
        <f t="shared" si="34"/>
        <v>#VALUE!</v>
      </c>
      <c r="AE38" s="179" t="e">
        <f t="shared" si="35"/>
        <v>#VALUE!</v>
      </c>
      <c r="AF38" s="179" t="e">
        <f t="shared" si="36"/>
        <v>#VALUE!</v>
      </c>
      <c r="AG38" s="179" t="e">
        <f t="shared" si="37"/>
        <v>#VALUE!</v>
      </c>
      <c r="AH38" s="179" t="e">
        <f t="shared" si="38"/>
        <v>#VALUE!</v>
      </c>
      <c r="AI38" s="179" t="e">
        <f t="shared" si="39"/>
        <v>#VALUE!</v>
      </c>
      <c r="AJ38" s="192" t="str">
        <f t="shared" si="40"/>
        <v>Nick Blocksidge</v>
      </c>
      <c r="AK38" s="1">
        <f t="shared" si="41"/>
        <v>1</v>
      </c>
    </row>
    <row r="39" spans="2:37">
      <c r="B39" s="180"/>
      <c r="C39" s="180" t="str">
        <f>Picks!B39</f>
        <v>Preston</v>
      </c>
      <c r="D39" s="181">
        <f>Picks!C39</f>
        <v>6</v>
      </c>
      <c r="E39" s="181">
        <f>Picks!D39</f>
        <v>1.5333333333333332</v>
      </c>
      <c r="F39" s="180">
        <f>IF(C39="","",INDEX(Odds!K:K,MATCH(C39,Odds!G:G,0)))</f>
        <v>1</v>
      </c>
      <c r="G39" s="180">
        <f>IF(C39="","",Picks!M39)</f>
        <v>1</v>
      </c>
      <c r="H39" s="181">
        <f t="shared" si="21"/>
        <v>0.53333333333333321</v>
      </c>
      <c r="I39" s="191" t="str">
        <f t="shared" si="22"/>
        <v>Nigel Heyes</v>
      </c>
      <c r="J39" s="179">
        <f>H113</f>
        <v>0</v>
      </c>
      <c r="K39" s="179">
        <f>H114</f>
        <v>0</v>
      </c>
      <c r="L39" s="179">
        <f>H115</f>
        <v>0.95</v>
      </c>
      <c r="M39" s="179">
        <f t="shared" si="23"/>
        <v>0</v>
      </c>
      <c r="N39" s="179">
        <f t="shared" si="24"/>
        <v>0</v>
      </c>
      <c r="O39" s="179">
        <f t="shared" si="25"/>
        <v>1.95</v>
      </c>
      <c r="P39" s="179">
        <f t="shared" si="26"/>
        <v>0</v>
      </c>
      <c r="Q39" s="179">
        <f t="shared" si="27"/>
        <v>0</v>
      </c>
      <c r="R39" s="179">
        <f t="shared" si="28"/>
        <v>0</v>
      </c>
      <c r="S39" s="179">
        <f t="shared" si="29"/>
        <v>0</v>
      </c>
      <c r="T39" s="179">
        <f t="shared" si="30"/>
        <v>-5.05</v>
      </c>
      <c r="U39" s="148">
        <f>SUM(G113:G115)</f>
        <v>1</v>
      </c>
      <c r="V39" s="117" t="s">
        <v>300</v>
      </c>
      <c r="W39" s="148">
        <f>SUM(F113:F115)</f>
        <v>3</v>
      </c>
      <c r="X39" s="181">
        <f t="shared" si="31"/>
        <v>0.53333333333333321</v>
      </c>
      <c r="Y39" s="179">
        <f>X113</f>
        <v>1.6</v>
      </c>
      <c r="Z39" s="179">
        <f>X114</f>
        <v>0.95</v>
      </c>
      <c r="AA39" s="179">
        <f>X115</f>
        <v>0.95</v>
      </c>
      <c r="AB39" s="179">
        <f t="shared" si="32"/>
        <v>2.6</v>
      </c>
      <c r="AC39" s="185">
        <f t="shared" si="33"/>
        <v>1.95</v>
      </c>
      <c r="AD39" s="179">
        <f t="shared" si="34"/>
        <v>1.95</v>
      </c>
      <c r="AE39" s="179">
        <f t="shared" si="35"/>
        <v>5.07</v>
      </c>
      <c r="AF39" s="179">
        <f t="shared" si="36"/>
        <v>3.8024999999999998</v>
      </c>
      <c r="AG39" s="179">
        <f t="shared" si="37"/>
        <v>5.07</v>
      </c>
      <c r="AH39" s="179">
        <f t="shared" si="38"/>
        <v>9.8865000000000016</v>
      </c>
      <c r="AI39" s="179">
        <f t="shared" si="39"/>
        <v>23.329000000000004</v>
      </c>
      <c r="AJ39" s="192" t="str">
        <f t="shared" si="40"/>
        <v>Nigel Heyes</v>
      </c>
      <c r="AK39" s="1">
        <f t="shared" si="41"/>
        <v>7</v>
      </c>
    </row>
    <row r="40" spans="2:37" ht="13.15" thickBot="1">
      <c r="B40" s="182"/>
      <c r="C40" s="182" t="str">
        <f>Picks!B40</f>
        <v>Wigan</v>
      </c>
      <c r="D40" s="183">
        <f>Picks!C40</f>
        <v>6</v>
      </c>
      <c r="E40" s="183">
        <f>Picks!D40</f>
        <v>1.95</v>
      </c>
      <c r="F40" s="182">
        <f>IF(C40="","",INDEX(Odds!K:K,MATCH(C40,Odds!G:G,0)))</f>
        <v>1</v>
      </c>
      <c r="G40" s="182">
        <f>IF(C40="","",Picks!M40)</f>
        <v>0</v>
      </c>
      <c r="H40" s="183">
        <f t="shared" si="21"/>
        <v>0</v>
      </c>
      <c r="I40" s="191" t="str">
        <f t="shared" si="22"/>
        <v>Paul Adderley</v>
      </c>
      <c r="J40" s="179" t="str">
        <f>H116</f>
        <v/>
      </c>
      <c r="K40" s="179" t="str">
        <f>H117</f>
        <v/>
      </c>
      <c r="L40" s="179" t="str">
        <f>H118</f>
        <v/>
      </c>
      <c r="M40" s="179" t="e">
        <f t="shared" si="23"/>
        <v>#VALUE!</v>
      </c>
      <c r="N40" s="179" t="e">
        <f t="shared" si="24"/>
        <v>#VALUE!</v>
      </c>
      <c r="O40" s="179" t="e">
        <f t="shared" si="25"/>
        <v>#VALUE!</v>
      </c>
      <c r="P40" s="179" t="e">
        <f t="shared" si="26"/>
        <v>#VALUE!</v>
      </c>
      <c r="Q40" s="179" t="e">
        <f t="shared" si="27"/>
        <v>#VALUE!</v>
      </c>
      <c r="R40" s="179" t="e">
        <f t="shared" si="28"/>
        <v>#VALUE!</v>
      </c>
      <c r="S40" s="179" t="e">
        <f t="shared" si="29"/>
        <v>#VALUE!</v>
      </c>
      <c r="T40" s="179" t="e">
        <f t="shared" si="30"/>
        <v>#VALUE!</v>
      </c>
      <c r="U40" s="148">
        <f>SUM(G116:G118)</f>
        <v>0</v>
      </c>
      <c r="V40" s="120" t="s">
        <v>281</v>
      </c>
      <c r="W40" s="148">
        <f>SUM(F116:F118)</f>
        <v>0</v>
      </c>
      <c r="X40" s="181">
        <f t="shared" si="31"/>
        <v>0.95</v>
      </c>
      <c r="Y40" s="179" t="e">
        <f>X116</f>
        <v>#VALUE!</v>
      </c>
      <c r="Z40" s="179" t="e">
        <f>X117</f>
        <v>#VALUE!</v>
      </c>
      <c r="AA40" s="179" t="e">
        <f>X118</f>
        <v>#VALUE!</v>
      </c>
      <c r="AB40" s="179" t="e">
        <f t="shared" si="32"/>
        <v>#VALUE!</v>
      </c>
      <c r="AC40" s="185" t="e">
        <f t="shared" si="33"/>
        <v>#VALUE!</v>
      </c>
      <c r="AD40" s="179" t="e">
        <f t="shared" si="34"/>
        <v>#VALUE!</v>
      </c>
      <c r="AE40" s="179" t="e">
        <f t="shared" si="35"/>
        <v>#VALUE!</v>
      </c>
      <c r="AF40" s="179" t="e">
        <f t="shared" si="36"/>
        <v>#VALUE!</v>
      </c>
      <c r="AG40" s="179" t="e">
        <f t="shared" si="37"/>
        <v>#VALUE!</v>
      </c>
      <c r="AH40" s="179" t="e">
        <f t="shared" si="38"/>
        <v>#VALUE!</v>
      </c>
      <c r="AI40" s="179" t="e">
        <f t="shared" si="39"/>
        <v>#VALUE!</v>
      </c>
      <c r="AJ40" s="192" t="str">
        <f t="shared" si="40"/>
        <v>Paul Adderley</v>
      </c>
      <c r="AK40" s="1">
        <f t="shared" si="41"/>
        <v>1</v>
      </c>
    </row>
    <row r="41" spans="2:37">
      <c r="B41" s="180" t="str">
        <f>$V15</f>
        <v>Chris Luck</v>
      </c>
      <c r="C41" s="180" t="str">
        <f>Picks!B41</f>
        <v>Bournemouth</v>
      </c>
      <c r="D41" s="181">
        <f>Picks!C41</f>
        <v>7</v>
      </c>
      <c r="E41" s="181">
        <f>Picks!D41</f>
        <v>2.1</v>
      </c>
      <c r="F41" s="180">
        <f>IF(C41="","",INDEX(Odds!K:K,MATCH(C41,Odds!G:G,0)))</f>
        <v>1</v>
      </c>
      <c r="G41" s="180">
        <f>IF(C41="","",Picks!M41)</f>
        <v>1</v>
      </c>
      <c r="H41" s="181">
        <f t="shared" si="21"/>
        <v>1.1000000000000001</v>
      </c>
      <c r="I41" s="191" t="str">
        <f t="shared" si="22"/>
        <v>Paul Allen</v>
      </c>
      <c r="J41" s="179">
        <f>H119</f>
        <v>0</v>
      </c>
      <c r="K41" s="179">
        <f>H120</f>
        <v>0</v>
      </c>
      <c r="L41" s="179">
        <f>H121</f>
        <v>0</v>
      </c>
      <c r="M41" s="179">
        <f t="shared" si="23"/>
        <v>0</v>
      </c>
      <c r="N41" s="179">
        <f t="shared" si="24"/>
        <v>0</v>
      </c>
      <c r="O41" s="179">
        <f t="shared" si="25"/>
        <v>0</v>
      </c>
      <c r="P41" s="179">
        <f t="shared" si="26"/>
        <v>0</v>
      </c>
      <c r="Q41" s="179">
        <f t="shared" si="27"/>
        <v>0</v>
      </c>
      <c r="R41" s="179">
        <f t="shared" si="28"/>
        <v>0</v>
      </c>
      <c r="S41" s="179">
        <f t="shared" si="29"/>
        <v>0</v>
      </c>
      <c r="T41" s="179">
        <f t="shared" si="30"/>
        <v>-7</v>
      </c>
      <c r="U41" s="148">
        <f>SUM(G119:G121)</f>
        <v>0</v>
      </c>
      <c r="V41" s="120" t="s">
        <v>271</v>
      </c>
      <c r="W41" s="148">
        <f>SUM(F119:F121)</f>
        <v>3</v>
      </c>
      <c r="X41" s="181">
        <f t="shared" si="31"/>
        <v>1.1000000000000001</v>
      </c>
      <c r="Y41" s="179">
        <f>X119</f>
        <v>2.8</v>
      </c>
      <c r="Z41" s="179">
        <f>X120</f>
        <v>0.8</v>
      </c>
      <c r="AA41" s="179">
        <f>X121</f>
        <v>0.61538461538461542</v>
      </c>
      <c r="AB41" s="179">
        <f t="shared" si="32"/>
        <v>3.8</v>
      </c>
      <c r="AC41" s="185">
        <f t="shared" si="33"/>
        <v>1.8</v>
      </c>
      <c r="AD41" s="179">
        <f t="shared" si="34"/>
        <v>1.6153846153846154</v>
      </c>
      <c r="AE41" s="179">
        <f t="shared" si="35"/>
        <v>6.84</v>
      </c>
      <c r="AF41" s="179">
        <f t="shared" si="36"/>
        <v>2.907692307692308</v>
      </c>
      <c r="AG41" s="179">
        <f t="shared" si="37"/>
        <v>6.138461538461538</v>
      </c>
      <c r="AH41" s="179">
        <f t="shared" si="38"/>
        <v>11.049230769230769</v>
      </c>
      <c r="AI41" s="179">
        <f t="shared" si="39"/>
        <v>27.150769230769228</v>
      </c>
      <c r="AJ41" s="192" t="str">
        <f t="shared" si="40"/>
        <v>Paul Allen</v>
      </c>
      <c r="AK41" s="1">
        <f t="shared" si="41"/>
        <v>7</v>
      </c>
    </row>
    <row r="42" spans="2:37">
      <c r="B42" s="180"/>
      <c r="C42" s="180" t="str">
        <f>Picks!B42</f>
        <v>Man U</v>
      </c>
      <c r="D42" s="181">
        <f>Picks!C42</f>
        <v>7</v>
      </c>
      <c r="E42" s="181">
        <f>Picks!D42</f>
        <v>2.2000000000000002</v>
      </c>
      <c r="F42" s="180">
        <f>IF(C42="","",INDEX(Odds!K:K,MATCH(C42,Odds!G:G,0)))</f>
        <v>1</v>
      </c>
      <c r="G42" s="180">
        <f>IF(C42="","",Picks!M42)</f>
        <v>0</v>
      </c>
      <c r="H42" s="181">
        <f t="shared" si="21"/>
        <v>0</v>
      </c>
      <c r="I42" s="191" t="str">
        <f t="shared" si="22"/>
        <v>Paul Barnes</v>
      </c>
      <c r="J42" s="179">
        <f>H122</f>
        <v>0</v>
      </c>
      <c r="K42" s="179">
        <f>H123</f>
        <v>3</v>
      </c>
      <c r="L42" s="179">
        <f>H124</f>
        <v>1.1000000000000001</v>
      </c>
      <c r="M42" s="179">
        <f t="shared" si="23"/>
        <v>0</v>
      </c>
      <c r="N42" s="179">
        <f t="shared" si="24"/>
        <v>4</v>
      </c>
      <c r="O42" s="179">
        <f t="shared" si="25"/>
        <v>2.1</v>
      </c>
      <c r="P42" s="179">
        <f t="shared" si="26"/>
        <v>0</v>
      </c>
      <c r="Q42" s="179">
        <f t="shared" si="27"/>
        <v>8.4</v>
      </c>
      <c r="R42" s="179">
        <f t="shared" si="28"/>
        <v>0</v>
      </c>
      <c r="S42" s="179">
        <f t="shared" si="29"/>
        <v>0</v>
      </c>
      <c r="T42" s="179">
        <f t="shared" si="30"/>
        <v>7.5</v>
      </c>
      <c r="U42" s="148">
        <f>SUM(G122:G124)</f>
        <v>2</v>
      </c>
      <c r="V42" s="117" t="s">
        <v>292</v>
      </c>
      <c r="W42" s="148">
        <f>SUM(F122:F124)</f>
        <v>3</v>
      </c>
      <c r="X42" s="181">
        <f t="shared" si="31"/>
        <v>1.2000000000000002</v>
      </c>
      <c r="Y42" s="179">
        <f>X122</f>
        <v>1.2000000000000002</v>
      </c>
      <c r="Z42" s="179">
        <f>X123</f>
        <v>3</v>
      </c>
      <c r="AA42" s="179">
        <f>X124</f>
        <v>1.1000000000000001</v>
      </c>
      <c r="AB42" s="179">
        <f t="shared" si="32"/>
        <v>2.2000000000000002</v>
      </c>
      <c r="AC42" s="185">
        <f t="shared" si="33"/>
        <v>4</v>
      </c>
      <c r="AD42" s="179">
        <f t="shared" si="34"/>
        <v>2.1</v>
      </c>
      <c r="AE42" s="179">
        <f t="shared" si="35"/>
        <v>8.8000000000000007</v>
      </c>
      <c r="AF42" s="179">
        <f t="shared" si="36"/>
        <v>8.4</v>
      </c>
      <c r="AG42" s="179">
        <f t="shared" si="37"/>
        <v>4.620000000000001</v>
      </c>
      <c r="AH42" s="179">
        <f t="shared" si="38"/>
        <v>18.480000000000004</v>
      </c>
      <c r="AI42" s="179">
        <f t="shared" si="39"/>
        <v>41.600000000000009</v>
      </c>
      <c r="AJ42" s="192" t="str">
        <f t="shared" si="40"/>
        <v>Paul Barnes</v>
      </c>
      <c r="AK42" s="1">
        <f t="shared" si="41"/>
        <v>7</v>
      </c>
    </row>
    <row r="43" spans="2:37" ht="13.15" thickBot="1">
      <c r="B43" s="182"/>
      <c r="C43" s="182" t="str">
        <f>Picks!B43</f>
        <v>Forest</v>
      </c>
      <c r="D43" s="183">
        <f>Picks!C43</f>
        <v>7</v>
      </c>
      <c r="E43" s="183">
        <f>Picks!D43</f>
        <v>2.2000000000000002</v>
      </c>
      <c r="F43" s="182">
        <f>IF(C43="","",INDEX(Odds!K:K,MATCH(C43,Odds!G:G,0)))</f>
        <v>1</v>
      </c>
      <c r="G43" s="182">
        <f>IF(C43="","",Picks!M43)</f>
        <v>0</v>
      </c>
      <c r="H43" s="183">
        <f t="shared" si="21"/>
        <v>0</v>
      </c>
      <c r="I43" s="191" t="str">
        <f t="shared" si="22"/>
        <v>Paul Fairhurst</v>
      </c>
      <c r="J43" s="179">
        <f>H125</f>
        <v>0</v>
      </c>
      <c r="K43" s="179">
        <f>H126</f>
        <v>0</v>
      </c>
      <c r="L43" s="179">
        <f>H127</f>
        <v>0</v>
      </c>
      <c r="M43" s="179">
        <f t="shared" si="23"/>
        <v>0</v>
      </c>
      <c r="N43" s="179">
        <f t="shared" si="24"/>
        <v>0</v>
      </c>
      <c r="O43" s="179">
        <f t="shared" si="25"/>
        <v>0</v>
      </c>
      <c r="P43" s="179">
        <f t="shared" si="26"/>
        <v>0</v>
      </c>
      <c r="Q43" s="179">
        <f t="shared" si="27"/>
        <v>0</v>
      </c>
      <c r="R43" s="179">
        <f t="shared" si="28"/>
        <v>0</v>
      </c>
      <c r="S43" s="179">
        <f t="shared" si="29"/>
        <v>0</v>
      </c>
      <c r="T43" s="179">
        <f t="shared" si="30"/>
        <v>-7</v>
      </c>
      <c r="U43" s="148">
        <f>SUM(G125:G127)</f>
        <v>0</v>
      </c>
      <c r="V43" s="120" t="s">
        <v>296</v>
      </c>
      <c r="W43" s="148">
        <f>SUM(F125:F127)</f>
        <v>3</v>
      </c>
      <c r="X43" s="181">
        <f t="shared" si="31"/>
        <v>1.2000000000000002</v>
      </c>
      <c r="Y43" s="179">
        <f>X125</f>
        <v>2.6</v>
      </c>
      <c r="Z43" s="179">
        <f>X126</f>
        <v>8</v>
      </c>
      <c r="AA43" s="179">
        <f>X127</f>
        <v>3.3333333333333339</v>
      </c>
      <c r="AB43" s="179">
        <f t="shared" si="32"/>
        <v>3.6</v>
      </c>
      <c r="AC43" s="185">
        <f t="shared" si="33"/>
        <v>9</v>
      </c>
      <c r="AD43" s="179">
        <f t="shared" si="34"/>
        <v>4.3333333333333339</v>
      </c>
      <c r="AE43" s="179">
        <f t="shared" si="35"/>
        <v>32.4</v>
      </c>
      <c r="AF43" s="179">
        <f t="shared" si="36"/>
        <v>39.000000000000007</v>
      </c>
      <c r="AG43" s="179">
        <f t="shared" si="37"/>
        <v>15.600000000000003</v>
      </c>
      <c r="AH43" s="179">
        <f t="shared" si="38"/>
        <v>140.4</v>
      </c>
      <c r="AI43" s="179">
        <f t="shared" si="39"/>
        <v>237.33333333333337</v>
      </c>
      <c r="AJ43" s="192" t="str">
        <f t="shared" si="40"/>
        <v>Paul Fairhurst</v>
      </c>
      <c r="AK43" s="1">
        <f t="shared" si="41"/>
        <v>7</v>
      </c>
    </row>
    <row r="44" spans="2:37">
      <c r="B44" s="181" t="str">
        <f>$V16</f>
        <v>Chris Townsend</v>
      </c>
      <c r="C44" s="180" t="str">
        <f>Picks!B44</f>
        <v>Burnley</v>
      </c>
      <c r="D44" s="181">
        <f>Picks!C44</f>
        <v>7</v>
      </c>
      <c r="E44" s="181">
        <f>Picks!D44</f>
        <v>9</v>
      </c>
      <c r="F44" s="180">
        <f>IF(C44="","",INDEX(Odds!K:K,MATCH(C44,Odds!G:G,0)))</f>
        <v>1</v>
      </c>
      <c r="G44" s="180">
        <f>IF(C44="","",Picks!M44)</f>
        <v>0</v>
      </c>
      <c r="H44" s="181">
        <f t="shared" si="21"/>
        <v>0</v>
      </c>
      <c r="I44" s="191" t="str">
        <f t="shared" si="22"/>
        <v>Pete Baron</v>
      </c>
      <c r="J44" s="179">
        <f>H128</f>
        <v>0</v>
      </c>
      <c r="K44" s="179">
        <f>H129</f>
        <v>3</v>
      </c>
      <c r="L44" s="179">
        <f>H130</f>
        <v>2.4</v>
      </c>
      <c r="M44" s="179">
        <f t="shared" si="23"/>
        <v>0</v>
      </c>
      <c r="N44" s="179">
        <f t="shared" si="24"/>
        <v>4</v>
      </c>
      <c r="O44" s="179">
        <f t="shared" si="25"/>
        <v>3.4</v>
      </c>
      <c r="P44" s="179">
        <f t="shared" si="26"/>
        <v>0</v>
      </c>
      <c r="Q44" s="179">
        <f t="shared" si="27"/>
        <v>13.6</v>
      </c>
      <c r="R44" s="179">
        <f t="shared" si="28"/>
        <v>0</v>
      </c>
      <c r="S44" s="179">
        <f t="shared" si="29"/>
        <v>0</v>
      </c>
      <c r="T44" s="179">
        <f t="shared" si="30"/>
        <v>14</v>
      </c>
      <c r="U44" s="148">
        <f>SUM(G128:G130)</f>
        <v>2</v>
      </c>
      <c r="V44" s="117" t="s">
        <v>304</v>
      </c>
      <c r="W44" s="148">
        <f>SUM(F128:F130)</f>
        <v>3</v>
      </c>
      <c r="X44" s="181">
        <f t="shared" si="31"/>
        <v>8</v>
      </c>
      <c r="Y44" s="179">
        <f>X128</f>
        <v>3.3333333333333339</v>
      </c>
      <c r="Z44" s="179">
        <f>X129</f>
        <v>3</v>
      </c>
      <c r="AA44" s="179">
        <f>X130</f>
        <v>2.4</v>
      </c>
      <c r="AB44" s="179">
        <f t="shared" si="32"/>
        <v>4.3333333333333339</v>
      </c>
      <c r="AC44" s="185">
        <f t="shared" si="33"/>
        <v>4</v>
      </c>
      <c r="AD44" s="179">
        <f t="shared" si="34"/>
        <v>3.4</v>
      </c>
      <c r="AE44" s="179">
        <f t="shared" si="35"/>
        <v>17.333333333333336</v>
      </c>
      <c r="AF44" s="179">
        <f t="shared" si="36"/>
        <v>13.6</v>
      </c>
      <c r="AG44" s="179">
        <f t="shared" si="37"/>
        <v>14.733333333333336</v>
      </c>
      <c r="AH44" s="179">
        <f t="shared" si="38"/>
        <v>58.933333333333337</v>
      </c>
      <c r="AI44" s="179">
        <f t="shared" si="39"/>
        <v>109.33333333333334</v>
      </c>
      <c r="AJ44" s="192" t="str">
        <f t="shared" si="40"/>
        <v>Pete Baron</v>
      </c>
      <c r="AK44" s="1">
        <f t="shared" si="41"/>
        <v>7</v>
      </c>
    </row>
    <row r="45" spans="2:37">
      <c r="B45" s="180"/>
      <c r="C45" s="180" t="str">
        <f>Picks!B45</f>
        <v>Luton</v>
      </c>
      <c r="D45" s="181">
        <f>Picks!C45</f>
        <v>7</v>
      </c>
      <c r="E45" s="181">
        <f>Picks!D45</f>
        <v>10</v>
      </c>
      <c r="F45" s="180">
        <f>IF(C45="","",INDEX(Odds!K:K,MATCH(C45,Odds!G:G,0)))</f>
        <v>1</v>
      </c>
      <c r="G45" s="180">
        <f>IF(C45="","",Picks!M45)</f>
        <v>0</v>
      </c>
      <c r="H45" s="181">
        <f t="shared" si="21"/>
        <v>0</v>
      </c>
      <c r="I45" s="191" t="str">
        <f t="shared" si="22"/>
        <v>Phil Miller</v>
      </c>
      <c r="J45" s="179">
        <f>H131</f>
        <v>0.5</v>
      </c>
      <c r="K45" s="179">
        <f>H132</f>
        <v>0.53333333333333321</v>
      </c>
      <c r="L45" s="179">
        <f>H133</f>
        <v>0</v>
      </c>
      <c r="M45" s="179">
        <f t="shared" si="23"/>
        <v>1.5</v>
      </c>
      <c r="N45" s="179">
        <f t="shared" si="24"/>
        <v>1.5333333333333332</v>
      </c>
      <c r="O45" s="179">
        <f t="shared" si="25"/>
        <v>0</v>
      </c>
      <c r="P45" s="179">
        <f t="shared" si="26"/>
        <v>2.2999999999999998</v>
      </c>
      <c r="Q45" s="179">
        <f t="shared" si="27"/>
        <v>0</v>
      </c>
      <c r="R45" s="179">
        <f t="shared" si="28"/>
        <v>0</v>
      </c>
      <c r="S45" s="179">
        <f t="shared" si="29"/>
        <v>0</v>
      </c>
      <c r="T45" s="179">
        <f t="shared" si="30"/>
        <v>-1.666666666666667</v>
      </c>
      <c r="U45" s="148">
        <f>SUM(G131:G133)</f>
        <v>2</v>
      </c>
      <c r="V45" s="117" t="s">
        <v>307</v>
      </c>
      <c r="W45" s="148">
        <f>SUM(F131:F133)</f>
        <v>3</v>
      </c>
      <c r="X45" s="181">
        <f t="shared" si="31"/>
        <v>9</v>
      </c>
      <c r="Y45" s="179">
        <f>X131</f>
        <v>0.5</v>
      </c>
      <c r="Z45" s="179">
        <f>X132</f>
        <v>0.53333333333333321</v>
      </c>
      <c r="AA45" s="179">
        <f>X133</f>
        <v>0.28571428571428559</v>
      </c>
      <c r="AB45" s="179">
        <f t="shared" si="32"/>
        <v>1.5</v>
      </c>
      <c r="AC45" s="185">
        <f t="shared" si="33"/>
        <v>1.5333333333333332</v>
      </c>
      <c r="AD45" s="179">
        <f t="shared" si="34"/>
        <v>1.2857142857142856</v>
      </c>
      <c r="AE45" s="179">
        <f t="shared" si="35"/>
        <v>2.2999999999999998</v>
      </c>
      <c r="AF45" s="179">
        <f t="shared" si="36"/>
        <v>1.9714285714285711</v>
      </c>
      <c r="AG45" s="179">
        <f t="shared" si="37"/>
        <v>1.9285714285714284</v>
      </c>
      <c r="AH45" s="179">
        <f t="shared" si="38"/>
        <v>2.9571428571428564</v>
      </c>
      <c r="AI45" s="179">
        <f t="shared" si="39"/>
        <v>6.4761904761904745</v>
      </c>
      <c r="AJ45" s="192" t="str">
        <f t="shared" si="40"/>
        <v>Phil Miller</v>
      </c>
      <c r="AK45" s="1">
        <f t="shared" si="41"/>
        <v>7</v>
      </c>
    </row>
    <row r="46" spans="2:37" ht="13.15" thickBot="1">
      <c r="B46" s="182"/>
      <c r="C46" s="182" t="str">
        <f>Picks!B46</f>
        <v>Palace</v>
      </c>
      <c r="D46" s="183">
        <f>Picks!C46</f>
        <v>7</v>
      </c>
      <c r="E46" s="183">
        <f>Picks!D46</f>
        <v>3.2</v>
      </c>
      <c r="F46" s="182">
        <f>IF(C46="","",INDEX(Odds!K:K,MATCH(C46,Odds!G:G,0)))</f>
        <v>1</v>
      </c>
      <c r="G46" s="182">
        <f>IF(C46="","",Picks!M46)</f>
        <v>0</v>
      </c>
      <c r="H46" s="183">
        <f t="shared" si="21"/>
        <v>0</v>
      </c>
      <c r="I46" s="191" t="str">
        <f t="shared" si="22"/>
        <v>Rob England</v>
      </c>
      <c r="J46" s="179">
        <f>H134</f>
        <v>0.7</v>
      </c>
      <c r="K46" s="179">
        <f>H135</f>
        <v>0</v>
      </c>
      <c r="L46" s="179">
        <f>H136</f>
        <v>0.64999999999999991</v>
      </c>
      <c r="M46" s="179">
        <f t="shared" si="23"/>
        <v>1.7</v>
      </c>
      <c r="N46" s="179">
        <f t="shared" si="24"/>
        <v>0</v>
      </c>
      <c r="O46" s="179">
        <f t="shared" si="25"/>
        <v>1.65</v>
      </c>
      <c r="P46" s="179">
        <f t="shared" si="26"/>
        <v>0</v>
      </c>
      <c r="Q46" s="179">
        <f t="shared" si="27"/>
        <v>0</v>
      </c>
      <c r="R46" s="179">
        <f t="shared" si="28"/>
        <v>2.8049999999999997</v>
      </c>
      <c r="S46" s="179">
        <f t="shared" si="29"/>
        <v>0</v>
      </c>
      <c r="T46" s="179">
        <f t="shared" si="30"/>
        <v>-0.84500000000000064</v>
      </c>
      <c r="U46" s="148">
        <f>SUM(G134:G136)</f>
        <v>2</v>
      </c>
      <c r="V46" s="118" t="s">
        <v>295</v>
      </c>
      <c r="W46" s="148">
        <f>SUM(F134:F136)</f>
        <v>3</v>
      </c>
      <c r="X46" s="181">
        <f t="shared" si="31"/>
        <v>2.2000000000000002</v>
      </c>
      <c r="Y46" s="179">
        <f>X134</f>
        <v>0.7</v>
      </c>
      <c r="Z46" s="179">
        <f>X135</f>
        <v>0.53333333333333321</v>
      </c>
      <c r="AA46" s="179">
        <f>X136</f>
        <v>0.64999999999999991</v>
      </c>
      <c r="AB46" s="179">
        <f t="shared" si="32"/>
        <v>1.7</v>
      </c>
      <c r="AC46" s="185">
        <f t="shared" si="33"/>
        <v>1.5333333333333332</v>
      </c>
      <c r="AD46" s="179">
        <f t="shared" si="34"/>
        <v>1.65</v>
      </c>
      <c r="AE46" s="179">
        <f t="shared" si="35"/>
        <v>2.6066666666666665</v>
      </c>
      <c r="AF46" s="179">
        <f t="shared" si="36"/>
        <v>2.5299999999999998</v>
      </c>
      <c r="AG46" s="179">
        <f t="shared" si="37"/>
        <v>2.8049999999999997</v>
      </c>
      <c r="AH46" s="179">
        <f t="shared" si="38"/>
        <v>4.3009999999999993</v>
      </c>
      <c r="AI46" s="179">
        <f t="shared" si="39"/>
        <v>10.125999999999998</v>
      </c>
      <c r="AJ46" s="192" t="str">
        <f t="shared" si="40"/>
        <v>Rob England</v>
      </c>
      <c r="AK46" s="1">
        <f t="shared" si="41"/>
        <v>7</v>
      </c>
    </row>
    <row r="47" spans="2:37">
      <c r="B47" s="181" t="str">
        <f>$V17</f>
        <v>Dan Gibbard</v>
      </c>
      <c r="C47" s="180" t="str">
        <f>Picks!B47</f>
        <v/>
      </c>
      <c r="D47" s="181" t="str">
        <f>Picks!C47</f>
        <v/>
      </c>
      <c r="E47" s="181" t="str">
        <f>Picks!D47</f>
        <v/>
      </c>
      <c r="F47" s="180" t="str">
        <f>IF(C47="","",INDEX(Odds!K:K,MATCH(C47,Odds!G:G,0)))</f>
        <v/>
      </c>
      <c r="G47" s="180" t="str">
        <f>IF(C47="","",Picks!M47)</f>
        <v/>
      </c>
      <c r="H47" s="181" t="str">
        <f t="shared" si="21"/>
        <v/>
      </c>
      <c r="I47" s="191" t="str">
        <f t="shared" si="22"/>
        <v>Simon Greenhalgh</v>
      </c>
      <c r="J47" s="179">
        <f>H137</f>
        <v>2.4</v>
      </c>
      <c r="K47" s="179">
        <f>H138</f>
        <v>0</v>
      </c>
      <c r="L47" s="179">
        <f>H139</f>
        <v>0</v>
      </c>
      <c r="M47" s="179">
        <f t="shared" si="23"/>
        <v>3.4</v>
      </c>
      <c r="N47" s="179">
        <f t="shared" si="24"/>
        <v>0</v>
      </c>
      <c r="O47" s="179">
        <f t="shared" si="25"/>
        <v>0</v>
      </c>
      <c r="P47" s="179">
        <f t="shared" si="26"/>
        <v>0</v>
      </c>
      <c r="Q47" s="179">
        <f t="shared" si="27"/>
        <v>0</v>
      </c>
      <c r="R47" s="179">
        <f t="shared" si="28"/>
        <v>0</v>
      </c>
      <c r="S47" s="179">
        <f t="shared" si="29"/>
        <v>0</v>
      </c>
      <c r="T47" s="179">
        <f t="shared" si="30"/>
        <v>-3.6</v>
      </c>
      <c r="U47" s="148">
        <f>SUM(G137:G139)</f>
        <v>1</v>
      </c>
      <c r="V47" s="117" t="s">
        <v>297</v>
      </c>
      <c r="W47" s="148">
        <f>SUM(F137:F139)</f>
        <v>3</v>
      </c>
      <c r="X47" s="181" t="e">
        <f t="shared" si="31"/>
        <v>#VALUE!</v>
      </c>
      <c r="Y47" s="179">
        <f>X137</f>
        <v>2.4</v>
      </c>
      <c r="Z47" s="179">
        <f>X138</f>
        <v>3</v>
      </c>
      <c r="AA47" s="179">
        <f>X139</f>
        <v>3.3333333333333339</v>
      </c>
      <c r="AB47" s="179">
        <f t="shared" si="32"/>
        <v>3.4</v>
      </c>
      <c r="AC47" s="185">
        <f t="shared" si="33"/>
        <v>4</v>
      </c>
      <c r="AD47" s="179">
        <f t="shared" si="34"/>
        <v>4.3333333333333339</v>
      </c>
      <c r="AE47" s="179">
        <f t="shared" si="35"/>
        <v>13.6</v>
      </c>
      <c r="AF47" s="179">
        <f t="shared" si="36"/>
        <v>17.333333333333336</v>
      </c>
      <c r="AG47" s="179">
        <f t="shared" si="37"/>
        <v>14.733333333333334</v>
      </c>
      <c r="AH47" s="179">
        <f t="shared" si="38"/>
        <v>58.933333333333344</v>
      </c>
      <c r="AI47" s="179">
        <f t="shared" si="39"/>
        <v>109.33333333333334</v>
      </c>
      <c r="AJ47" s="192" t="str">
        <f t="shared" si="40"/>
        <v>Simon Greenhalgh</v>
      </c>
      <c r="AK47" s="1">
        <f t="shared" si="41"/>
        <v>7</v>
      </c>
    </row>
    <row r="48" spans="2:37">
      <c r="B48" s="180"/>
      <c r="C48" s="180" t="str">
        <f>Picks!B48</f>
        <v/>
      </c>
      <c r="D48" s="181" t="str">
        <f>Picks!C48</f>
        <v/>
      </c>
      <c r="E48" s="181" t="str">
        <f>Picks!D48</f>
        <v/>
      </c>
      <c r="F48" s="180" t="str">
        <f>IF(C48="","",INDEX(Odds!K:K,MATCH(C48,Odds!G:G,0)))</f>
        <v/>
      </c>
      <c r="G48" s="180" t="str">
        <f>IF(C48="","",Picks!M48)</f>
        <v/>
      </c>
      <c r="H48" s="181" t="str">
        <f t="shared" si="21"/>
        <v/>
      </c>
      <c r="I48" s="191" t="str">
        <f t="shared" si="22"/>
        <v>Stephen Barr</v>
      </c>
      <c r="J48" s="179">
        <f>H140</f>
        <v>0.85000000000000009</v>
      </c>
      <c r="K48" s="179">
        <f>H141</f>
        <v>0</v>
      </c>
      <c r="L48" s="179">
        <f>H142</f>
        <v>1.375</v>
      </c>
      <c r="M48" s="179">
        <f t="shared" si="23"/>
        <v>1.85</v>
      </c>
      <c r="N48" s="179">
        <f t="shared" si="24"/>
        <v>0</v>
      </c>
      <c r="O48" s="179">
        <f t="shared" si="25"/>
        <v>2.375</v>
      </c>
      <c r="P48" s="179">
        <f t="shared" si="26"/>
        <v>0</v>
      </c>
      <c r="Q48" s="179">
        <f t="shared" si="27"/>
        <v>0</v>
      </c>
      <c r="R48" s="179">
        <f t="shared" si="28"/>
        <v>4.3937500000000007</v>
      </c>
      <c r="S48" s="179">
        <f t="shared" si="29"/>
        <v>0</v>
      </c>
      <c r="T48" s="179">
        <f t="shared" si="30"/>
        <v>1.6187500000000004</v>
      </c>
      <c r="U48" s="148">
        <f>SUM(G140:G142)</f>
        <v>2</v>
      </c>
      <c r="V48" s="117" t="s">
        <v>272</v>
      </c>
      <c r="W48" s="148">
        <f>SUM(F140:F142)</f>
        <v>3</v>
      </c>
      <c r="X48" s="181" t="e">
        <f t="shared" si="31"/>
        <v>#VALUE!</v>
      </c>
      <c r="Y48" s="179">
        <f>X140</f>
        <v>0.85000000000000009</v>
      </c>
      <c r="Z48" s="179">
        <f>X141</f>
        <v>2.7</v>
      </c>
      <c r="AA48" s="179">
        <f>X142</f>
        <v>1.375</v>
      </c>
      <c r="AB48" s="179">
        <f t="shared" si="32"/>
        <v>1.85</v>
      </c>
      <c r="AC48" s="185">
        <f t="shared" si="33"/>
        <v>3.7</v>
      </c>
      <c r="AD48" s="179">
        <f t="shared" si="34"/>
        <v>2.375</v>
      </c>
      <c r="AE48" s="179">
        <f t="shared" si="35"/>
        <v>6.8450000000000006</v>
      </c>
      <c r="AF48" s="179">
        <f t="shared" si="36"/>
        <v>8.7875000000000014</v>
      </c>
      <c r="AG48" s="179">
        <f t="shared" si="37"/>
        <v>4.3937500000000007</v>
      </c>
      <c r="AH48" s="179">
        <f t="shared" si="38"/>
        <v>16.256875000000001</v>
      </c>
      <c r="AI48" s="179">
        <f t="shared" si="39"/>
        <v>37.20812500000001</v>
      </c>
      <c r="AJ48" s="192" t="str">
        <f t="shared" si="40"/>
        <v>Stephen Barr</v>
      </c>
      <c r="AK48" s="1">
        <f t="shared" si="41"/>
        <v>7</v>
      </c>
    </row>
    <row r="49" spans="2:37" ht="13.15" thickBot="1">
      <c r="B49" s="182"/>
      <c r="C49" s="182" t="str">
        <f>Picks!B49</f>
        <v/>
      </c>
      <c r="D49" s="183" t="str">
        <f>Picks!C49</f>
        <v/>
      </c>
      <c r="E49" s="183" t="str">
        <f>Picks!D49</f>
        <v/>
      </c>
      <c r="F49" s="182" t="str">
        <f>IF(C49="","",INDEX(Odds!K:K,MATCH(C49,Odds!G:G,0)))</f>
        <v/>
      </c>
      <c r="G49" s="182" t="str">
        <f>IF(C49="","",Picks!M49)</f>
        <v/>
      </c>
      <c r="H49" s="183" t="str">
        <f t="shared" si="21"/>
        <v/>
      </c>
      <c r="I49" s="191" t="str">
        <f t="shared" si="22"/>
        <v>Steve Carter</v>
      </c>
      <c r="J49" s="179">
        <f>H143</f>
        <v>0.85000000000000009</v>
      </c>
      <c r="K49" s="179">
        <f>H144</f>
        <v>1.1000000000000001</v>
      </c>
      <c r="L49" s="179">
        <f>H145</f>
        <v>0</v>
      </c>
      <c r="M49" s="179">
        <f t="shared" si="23"/>
        <v>1.85</v>
      </c>
      <c r="N49" s="179">
        <f t="shared" si="24"/>
        <v>2.1</v>
      </c>
      <c r="O49" s="179">
        <f t="shared" si="25"/>
        <v>0</v>
      </c>
      <c r="P49" s="179">
        <f t="shared" si="26"/>
        <v>3.8850000000000002</v>
      </c>
      <c r="Q49" s="179">
        <f t="shared" si="27"/>
        <v>0</v>
      </c>
      <c r="R49" s="179">
        <f t="shared" si="28"/>
        <v>0</v>
      </c>
      <c r="S49" s="179">
        <f t="shared" si="29"/>
        <v>0</v>
      </c>
      <c r="T49" s="179">
        <f t="shared" si="30"/>
        <v>0.83500000000000085</v>
      </c>
      <c r="U49" s="148">
        <f>SUM(G143:G145)</f>
        <v>2</v>
      </c>
      <c r="V49" s="117" t="s">
        <v>274</v>
      </c>
      <c r="W49" s="148">
        <f>SUM(F143:F145)</f>
        <v>3</v>
      </c>
      <c r="X49" s="181" t="e">
        <f t="shared" si="31"/>
        <v>#VALUE!</v>
      </c>
      <c r="Y49" s="179">
        <f>X143</f>
        <v>0.85000000000000009</v>
      </c>
      <c r="Z49" s="179">
        <f>X144</f>
        <v>1.1000000000000001</v>
      </c>
      <c r="AA49" s="179">
        <f>X145</f>
        <v>0.7</v>
      </c>
      <c r="AB49" s="179">
        <f t="shared" si="32"/>
        <v>1.85</v>
      </c>
      <c r="AC49" s="185">
        <f t="shared" si="33"/>
        <v>2.1</v>
      </c>
      <c r="AD49" s="179">
        <f t="shared" si="34"/>
        <v>1.7</v>
      </c>
      <c r="AE49" s="179">
        <f t="shared" si="35"/>
        <v>3.8850000000000002</v>
      </c>
      <c r="AF49" s="179">
        <f t="shared" si="36"/>
        <v>3.5700000000000003</v>
      </c>
      <c r="AG49" s="179">
        <f t="shared" si="37"/>
        <v>3.145</v>
      </c>
      <c r="AH49" s="179">
        <f t="shared" si="38"/>
        <v>6.6044999999999998</v>
      </c>
      <c r="AI49" s="179">
        <f t="shared" si="39"/>
        <v>15.854500000000002</v>
      </c>
      <c r="AJ49" s="192" t="str">
        <f t="shared" si="40"/>
        <v>Steve Carter</v>
      </c>
      <c r="AK49" s="1">
        <f t="shared" si="41"/>
        <v>7</v>
      </c>
    </row>
    <row r="50" spans="2:37">
      <c r="B50" s="181" t="str">
        <f>$V18</f>
        <v>Dave Bell</v>
      </c>
      <c r="C50" s="180" t="str">
        <f>Picks!B50</f>
        <v>Brighton</v>
      </c>
      <c r="D50" s="181">
        <f>Picks!C50</f>
        <v>1</v>
      </c>
      <c r="E50" s="181">
        <f>Picks!D50</f>
        <v>7.5</v>
      </c>
      <c r="F50" s="180">
        <f>IF(C50="","",INDEX(Odds!K:K,MATCH(C50,Odds!G:G,0)))</f>
        <v>1</v>
      </c>
      <c r="G50" s="180">
        <f>IF(C50="","",Picks!M50)</f>
        <v>0</v>
      </c>
      <c r="H50" s="181">
        <f t="shared" si="21"/>
        <v>0</v>
      </c>
      <c r="I50" s="191" t="str">
        <f t="shared" si="22"/>
        <v>Tom Robinson</v>
      </c>
      <c r="J50" s="179">
        <f>H146</f>
        <v>1</v>
      </c>
      <c r="K50" s="179">
        <f>H147</f>
        <v>0</v>
      </c>
      <c r="L50" s="179">
        <f>H148</f>
        <v>0</v>
      </c>
      <c r="M50" s="179">
        <f t="shared" si="23"/>
        <v>2</v>
      </c>
      <c r="N50" s="179">
        <f t="shared" si="24"/>
        <v>0</v>
      </c>
      <c r="O50" s="179">
        <f t="shared" si="25"/>
        <v>0</v>
      </c>
      <c r="P50" s="179">
        <f t="shared" si="26"/>
        <v>0</v>
      </c>
      <c r="Q50" s="179">
        <f t="shared" si="27"/>
        <v>0</v>
      </c>
      <c r="R50" s="179">
        <f t="shared" si="28"/>
        <v>0</v>
      </c>
      <c r="S50" s="179">
        <f t="shared" si="29"/>
        <v>0</v>
      </c>
      <c r="T50" s="179">
        <f t="shared" si="30"/>
        <v>-5</v>
      </c>
      <c r="U50" s="148">
        <f>SUM(G146:G148)</f>
        <v>1</v>
      </c>
      <c r="V50" s="120" t="s">
        <v>314</v>
      </c>
      <c r="W50" s="148">
        <f>SUM(F146:F148)</f>
        <v>3</v>
      </c>
      <c r="X50" s="181">
        <f t="shared" si="31"/>
        <v>6.5</v>
      </c>
      <c r="Y50" s="179">
        <f>X146</f>
        <v>1</v>
      </c>
      <c r="Z50" s="179">
        <f>X147</f>
        <v>0.95</v>
      </c>
      <c r="AA50" s="179">
        <f>X148</f>
        <v>2.5</v>
      </c>
      <c r="AB50" s="179">
        <f t="shared" si="32"/>
        <v>2</v>
      </c>
      <c r="AC50" s="185">
        <f t="shared" si="33"/>
        <v>1.95</v>
      </c>
      <c r="AD50" s="179">
        <f t="shared" si="34"/>
        <v>3.5</v>
      </c>
      <c r="AE50" s="179">
        <f t="shared" si="35"/>
        <v>3.9</v>
      </c>
      <c r="AF50" s="179">
        <f t="shared" si="36"/>
        <v>6.8250000000000002</v>
      </c>
      <c r="AG50" s="179">
        <f t="shared" si="37"/>
        <v>7</v>
      </c>
      <c r="AH50" s="179">
        <f t="shared" si="38"/>
        <v>13.65</v>
      </c>
      <c r="AI50" s="179">
        <f t="shared" si="39"/>
        <v>31.825000000000003</v>
      </c>
      <c r="AJ50" s="192" t="str">
        <f t="shared" si="40"/>
        <v>Tom Robinson</v>
      </c>
      <c r="AK50" s="1">
        <f t="shared" si="41"/>
        <v>7</v>
      </c>
    </row>
    <row r="51" spans="2:37">
      <c r="B51" s="180"/>
      <c r="C51" s="180" t="str">
        <f>Picks!B51</f>
        <v>Luton</v>
      </c>
      <c r="D51" s="181">
        <f>Picks!C51</f>
        <v>7</v>
      </c>
      <c r="E51" s="181">
        <f>Picks!D51</f>
        <v>10</v>
      </c>
      <c r="F51" s="180">
        <f>IF(C51="","",INDEX(Odds!K:K,MATCH(C51,Odds!G:G,0)))</f>
        <v>1</v>
      </c>
      <c r="G51" s="180">
        <f>IF(C51="","",Picks!M51)</f>
        <v>0</v>
      </c>
      <c r="H51" s="181">
        <f t="shared" si="21"/>
        <v>0</v>
      </c>
      <c r="I51" s="191" t="str">
        <f t="shared" si="22"/>
        <v>Vinny Topping</v>
      </c>
      <c r="J51" s="179">
        <f>H149</f>
        <v>0</v>
      </c>
      <c r="K51" s="179">
        <f>H150</f>
        <v>0.85000000000000009</v>
      </c>
      <c r="L51" s="179">
        <f>H151</f>
        <v>0</v>
      </c>
      <c r="M51" s="179">
        <f t="shared" si="23"/>
        <v>0</v>
      </c>
      <c r="N51" s="179">
        <f t="shared" si="24"/>
        <v>1.85</v>
      </c>
      <c r="O51" s="179">
        <f t="shared" si="25"/>
        <v>0</v>
      </c>
      <c r="P51" s="179">
        <f t="shared" si="26"/>
        <v>0</v>
      </c>
      <c r="Q51" s="179">
        <f t="shared" si="27"/>
        <v>0</v>
      </c>
      <c r="R51" s="179">
        <f t="shared" si="28"/>
        <v>0</v>
      </c>
      <c r="S51" s="179">
        <f t="shared" si="29"/>
        <v>0</v>
      </c>
      <c r="T51" s="179">
        <f t="shared" si="30"/>
        <v>-5.15</v>
      </c>
      <c r="U51" s="148">
        <f>SUM(G149:G151)</f>
        <v>1</v>
      </c>
      <c r="V51" s="120" t="s">
        <v>291</v>
      </c>
      <c r="W51" s="148">
        <f>SUM(F149:F151)</f>
        <v>3</v>
      </c>
      <c r="X51" s="181">
        <f t="shared" si="31"/>
        <v>9</v>
      </c>
      <c r="Y51" s="179">
        <f>X149</f>
        <v>0.90909090909090917</v>
      </c>
      <c r="Z51" s="179">
        <f>X150</f>
        <v>0.85000000000000009</v>
      </c>
      <c r="AA51" s="179">
        <f>X151</f>
        <v>0.95</v>
      </c>
      <c r="AB51" s="179">
        <f t="shared" si="32"/>
        <v>1.9090909090909092</v>
      </c>
      <c r="AC51" s="185">
        <f t="shared" si="33"/>
        <v>1.85</v>
      </c>
      <c r="AD51" s="179">
        <f t="shared" si="34"/>
        <v>1.95</v>
      </c>
      <c r="AE51" s="179">
        <f t="shared" si="35"/>
        <v>3.5318181818181822</v>
      </c>
      <c r="AF51" s="179">
        <f t="shared" si="36"/>
        <v>3.6074999999999999</v>
      </c>
      <c r="AG51" s="179">
        <f t="shared" si="37"/>
        <v>3.7227272727272727</v>
      </c>
      <c r="AH51" s="179">
        <f t="shared" si="38"/>
        <v>6.8870454545454551</v>
      </c>
      <c r="AI51" s="179">
        <f t="shared" si="39"/>
        <v>16.458181818181817</v>
      </c>
      <c r="AJ51" s="192" t="str">
        <f t="shared" si="40"/>
        <v>Vinny Topping</v>
      </c>
      <c r="AK51" s="1">
        <f t="shared" si="41"/>
        <v>7</v>
      </c>
    </row>
    <row r="52" spans="2:37" ht="13.15" thickBot="1">
      <c r="B52" s="182"/>
      <c r="C52" s="182" t="str">
        <f>Picks!B52</f>
        <v>Burnley</v>
      </c>
      <c r="D52" s="183">
        <f>Picks!C52</f>
        <v>7</v>
      </c>
      <c r="E52" s="183">
        <f>Picks!D52</f>
        <v>9</v>
      </c>
      <c r="F52" s="182">
        <f>IF(C52="","",INDEX(Odds!K:K,MATCH(C52,Odds!G:G,0)))</f>
        <v>1</v>
      </c>
      <c r="G52" s="182">
        <f>IF(C52="","",Picks!M52)</f>
        <v>0</v>
      </c>
      <c r="H52" s="183">
        <f t="shared" si="21"/>
        <v>0</v>
      </c>
      <c r="I52" s="191"/>
      <c r="J52" s="179"/>
      <c r="K52" s="179"/>
      <c r="L52" s="179"/>
      <c r="M52" s="179"/>
      <c r="N52" s="179"/>
      <c r="O52" s="179"/>
      <c r="P52" s="179"/>
      <c r="Q52" s="179"/>
      <c r="R52" s="179"/>
      <c r="S52" s="179"/>
      <c r="T52" s="179"/>
      <c r="U52" s="148"/>
      <c r="V52" s="120"/>
      <c r="W52" s="148"/>
      <c r="X52" s="181">
        <f t="shared" si="31"/>
        <v>8</v>
      </c>
      <c r="Y52" s="179" t="e">
        <f>#REF!</f>
        <v>#REF!</v>
      </c>
      <c r="Z52" s="179" t="e">
        <f>#REF!</f>
        <v>#REF!</v>
      </c>
      <c r="AA52" s="179" t="e">
        <f>#REF!</f>
        <v>#REF!</v>
      </c>
      <c r="AB52" s="179" t="e">
        <f t="shared" si="32"/>
        <v>#REF!</v>
      </c>
      <c r="AC52" s="185" t="e">
        <f t="shared" si="33"/>
        <v>#REF!</v>
      </c>
      <c r="AD52" s="179" t="e">
        <f t="shared" si="34"/>
        <v>#REF!</v>
      </c>
      <c r="AE52" s="179" t="e">
        <f t="shared" si="35"/>
        <v>#REF!</v>
      </c>
      <c r="AF52" s="179" t="e">
        <f t="shared" si="36"/>
        <v>#REF!</v>
      </c>
      <c r="AG52" s="179" t="e">
        <f t="shared" si="37"/>
        <v>#REF!</v>
      </c>
      <c r="AH52" s="179" t="e">
        <f t="shared" si="38"/>
        <v>#REF!</v>
      </c>
      <c r="AI52" s="179" t="e">
        <f t="shared" si="39"/>
        <v>#REF!</v>
      </c>
      <c r="AJ52" s="192">
        <f t="shared" si="40"/>
        <v>0</v>
      </c>
      <c r="AK52" s="1">
        <f t="shared" si="41"/>
        <v>1</v>
      </c>
    </row>
    <row r="53" spans="2:37">
      <c r="B53" s="181" t="str">
        <f>$V19</f>
        <v>Dave Orrell</v>
      </c>
      <c r="C53" s="180" t="str">
        <f>Picks!B53</f>
        <v/>
      </c>
      <c r="D53" s="181" t="str">
        <f>Picks!C53</f>
        <v/>
      </c>
      <c r="E53" s="181" t="str">
        <f>Picks!D53</f>
        <v/>
      </c>
      <c r="F53" s="180" t="str">
        <f>IF(C53="","",INDEX(Odds!K:K,MATCH(C53,Odds!G:G,0)))</f>
        <v/>
      </c>
      <c r="G53" s="180" t="str">
        <f>IF(C53="","",Picks!M53)</f>
        <v/>
      </c>
      <c r="H53" s="181" t="str">
        <f t="shared" si="21"/>
        <v/>
      </c>
      <c r="I53" s="191"/>
      <c r="J53" s="179"/>
      <c r="K53" s="179"/>
      <c r="L53" s="179"/>
      <c r="M53" s="179"/>
      <c r="N53" s="179"/>
      <c r="O53" s="179"/>
      <c r="P53" s="179"/>
      <c r="Q53" s="179"/>
      <c r="R53" s="179"/>
      <c r="S53" s="179"/>
      <c r="T53" s="179"/>
      <c r="U53" s="148"/>
      <c r="V53" s="117"/>
      <c r="W53" s="148"/>
      <c r="X53" s="181" t="e">
        <f t="shared" si="31"/>
        <v>#VALUE!</v>
      </c>
      <c r="Y53" s="179" t="e">
        <f>#REF!</f>
        <v>#REF!</v>
      </c>
      <c r="Z53" s="179" t="e">
        <f>#REF!</f>
        <v>#REF!</v>
      </c>
      <c r="AA53" s="179" t="e">
        <f>#REF!</f>
        <v>#REF!</v>
      </c>
      <c r="AB53" s="179" t="e">
        <f t="shared" si="32"/>
        <v>#REF!</v>
      </c>
      <c r="AC53" s="185" t="e">
        <f t="shared" si="33"/>
        <v>#REF!</v>
      </c>
      <c r="AD53" s="179" t="e">
        <f t="shared" si="34"/>
        <v>#REF!</v>
      </c>
      <c r="AE53" s="179" t="e">
        <f t="shared" si="35"/>
        <v>#REF!</v>
      </c>
      <c r="AF53" s="179" t="e">
        <f t="shared" si="36"/>
        <v>#REF!</v>
      </c>
      <c r="AG53" s="179" t="e">
        <f t="shared" si="37"/>
        <v>#REF!</v>
      </c>
      <c r="AH53" s="179" t="e">
        <f t="shared" si="38"/>
        <v>#REF!</v>
      </c>
      <c r="AI53" s="179" t="e">
        <f t="shared" si="39"/>
        <v>#REF!</v>
      </c>
      <c r="AJ53" s="192">
        <f t="shared" si="40"/>
        <v>0</v>
      </c>
      <c r="AK53" s="1">
        <f t="shared" si="41"/>
        <v>1</v>
      </c>
    </row>
    <row r="54" spans="2:37">
      <c r="B54" s="180"/>
      <c r="C54" s="180" t="str">
        <f>Picks!B54</f>
        <v/>
      </c>
      <c r="D54" s="181" t="str">
        <f>Picks!C54</f>
        <v/>
      </c>
      <c r="E54" s="181" t="str">
        <f>Picks!D54</f>
        <v/>
      </c>
      <c r="F54" s="180" t="str">
        <f>IF(C54="","",INDEX(Odds!K:K,MATCH(C54,Odds!G:G,0)))</f>
        <v/>
      </c>
      <c r="G54" s="180" t="str">
        <f>IF(C54="","",Picks!M54)</f>
        <v/>
      </c>
      <c r="H54" s="181" t="str">
        <f t="shared" si="21"/>
        <v/>
      </c>
      <c r="I54" s="191"/>
      <c r="X54" s="181" t="e">
        <f t="shared" si="31"/>
        <v>#VALUE!</v>
      </c>
      <c r="AJ54" s="192"/>
    </row>
    <row r="55" spans="2:37" ht="13.15" thickBot="1">
      <c r="B55" s="182"/>
      <c r="C55" s="182" t="str">
        <f>Picks!B55</f>
        <v/>
      </c>
      <c r="D55" s="183" t="str">
        <f>Picks!C55</f>
        <v/>
      </c>
      <c r="E55" s="183" t="str">
        <f>Picks!D55</f>
        <v/>
      </c>
      <c r="F55" s="182" t="str">
        <f>IF(C55="","",INDEX(Odds!K:K,MATCH(C55,Odds!G:G,0)))</f>
        <v/>
      </c>
      <c r="G55" s="182" t="str">
        <f>IF(C55="","",Picks!M55)</f>
        <v/>
      </c>
      <c r="H55" s="183" t="str">
        <f t="shared" si="21"/>
        <v/>
      </c>
      <c r="I55" s="191"/>
      <c r="X55" s="181" t="e">
        <f t="shared" si="31"/>
        <v>#VALUE!</v>
      </c>
      <c r="AJ55" s="192"/>
    </row>
    <row r="56" spans="2:37">
      <c r="B56" s="181" t="str">
        <f>$V20</f>
        <v>David Dunn</v>
      </c>
      <c r="C56" s="180" t="str">
        <f>Picks!B56</f>
        <v>Everton</v>
      </c>
      <c r="D56" s="181">
        <f>Picks!C56</f>
        <v>7</v>
      </c>
      <c r="E56" s="181">
        <f>Picks!D56</f>
        <v>3.2</v>
      </c>
      <c r="F56" s="180">
        <f>IF(C56="","",INDEX(Odds!K:K,MATCH(C56,Odds!G:G,0)))</f>
        <v>1</v>
      </c>
      <c r="G56" s="180">
        <f>IF(C56="","",Picks!M56)</f>
        <v>0</v>
      </c>
      <c r="H56" s="181">
        <f t="shared" si="21"/>
        <v>0</v>
      </c>
      <c r="I56" s="191"/>
      <c r="X56" s="181">
        <f t="shared" si="31"/>
        <v>2.2000000000000002</v>
      </c>
      <c r="AJ56" s="192"/>
    </row>
    <row r="57" spans="2:37">
      <c r="B57" s="180"/>
      <c r="C57" s="180" t="str">
        <f>Picks!B57</f>
        <v>Man U</v>
      </c>
      <c r="D57" s="181">
        <f>Picks!C57</f>
        <v>7</v>
      </c>
      <c r="E57" s="181">
        <f>Picks!D57</f>
        <v>2.2000000000000002</v>
      </c>
      <c r="F57" s="180">
        <f>IF(C57="","",INDEX(Odds!K:K,MATCH(C57,Odds!G:G,0)))</f>
        <v>1</v>
      </c>
      <c r="G57" s="180">
        <f>IF(C57="","",Picks!M57)</f>
        <v>0</v>
      </c>
      <c r="H57" s="181">
        <f t="shared" si="21"/>
        <v>0</v>
      </c>
      <c r="I57" s="191" t="str">
        <f t="shared" ref="I57:I86" si="42">IF(V54="","",V54)</f>
        <v/>
      </c>
      <c r="X57" s="181">
        <f t="shared" si="31"/>
        <v>1.2000000000000002</v>
      </c>
      <c r="AJ57" s="192"/>
    </row>
    <row r="58" spans="2:37" ht="13.15" thickBot="1">
      <c r="B58" s="182"/>
      <c r="C58" s="182" t="str">
        <f>Picks!B58</f>
        <v>Chelsea</v>
      </c>
      <c r="D58" s="183">
        <f>Picks!C58</f>
        <v>7</v>
      </c>
      <c r="E58" s="183">
        <f>Picks!D58</f>
        <v>1.2857142857142856</v>
      </c>
      <c r="F58" s="182">
        <f>IF(C58="","",INDEX(Odds!K:K,MATCH(C58,Odds!G:G,0)))</f>
        <v>1</v>
      </c>
      <c r="G58" s="182">
        <f>IF(C58="","",Picks!M58)</f>
        <v>0</v>
      </c>
      <c r="H58" s="183">
        <f t="shared" si="21"/>
        <v>0</v>
      </c>
      <c r="I58" s="191" t="str">
        <f t="shared" si="42"/>
        <v/>
      </c>
      <c r="X58" s="181">
        <f t="shared" si="31"/>
        <v>0.28571428571428559</v>
      </c>
      <c r="AJ58" s="192"/>
    </row>
    <row r="59" spans="2:37">
      <c r="B59" s="181" t="str">
        <f>$V21</f>
        <v>Emma McDermott</v>
      </c>
      <c r="C59" s="180" t="str">
        <f>Picks!B59</f>
        <v/>
      </c>
      <c r="D59" s="181" t="str">
        <f>Picks!C59</f>
        <v/>
      </c>
      <c r="E59" s="181" t="str">
        <f>Picks!D59</f>
        <v/>
      </c>
      <c r="F59" s="180" t="str">
        <f>IF(C59="","",INDEX(Odds!K:K,MATCH(C59,Odds!G:G,0)))</f>
        <v/>
      </c>
      <c r="G59" s="180" t="str">
        <f>IF(C59="","",Picks!M59)</f>
        <v/>
      </c>
      <c r="H59" s="181" t="str">
        <f t="shared" si="21"/>
        <v/>
      </c>
      <c r="I59" s="191" t="str">
        <f t="shared" si="42"/>
        <v/>
      </c>
      <c r="X59" s="181" t="e">
        <f t="shared" si="31"/>
        <v>#VALUE!</v>
      </c>
    </row>
    <row r="60" spans="2:37">
      <c r="B60" s="180"/>
      <c r="C60" s="180" t="str">
        <f>Picks!B60</f>
        <v/>
      </c>
      <c r="D60" s="181" t="str">
        <f>Picks!C60</f>
        <v/>
      </c>
      <c r="E60" s="181" t="str">
        <f>Picks!D60</f>
        <v/>
      </c>
      <c r="F60" s="180" t="str">
        <f>IF(C60="","",INDEX(Odds!K:K,MATCH(C60,Odds!G:G,0)))</f>
        <v/>
      </c>
      <c r="G60" s="180" t="str">
        <f>IF(C60="","",Picks!M60)</f>
        <v/>
      </c>
      <c r="H60" s="181" t="str">
        <f t="shared" si="21"/>
        <v/>
      </c>
      <c r="I60" s="191" t="str">
        <f t="shared" si="42"/>
        <v/>
      </c>
      <c r="X60" s="181" t="e">
        <f t="shared" si="31"/>
        <v>#VALUE!</v>
      </c>
    </row>
    <row r="61" spans="2:37" ht="13.15" thickBot="1">
      <c r="B61" s="182"/>
      <c r="C61" s="182" t="str">
        <f>Picks!B61</f>
        <v/>
      </c>
      <c r="D61" s="183" t="str">
        <f>Picks!C61</f>
        <v/>
      </c>
      <c r="E61" s="183" t="str">
        <f>Picks!D61</f>
        <v/>
      </c>
      <c r="F61" s="182" t="str">
        <f>IF(C61="","",INDEX(Odds!K:K,MATCH(C61,Odds!G:G,0)))</f>
        <v/>
      </c>
      <c r="G61" s="182" t="str">
        <f>IF(C61="","",Picks!M61)</f>
        <v/>
      </c>
      <c r="H61" s="183" t="str">
        <f t="shared" si="21"/>
        <v/>
      </c>
      <c r="I61" s="191" t="str">
        <f t="shared" si="42"/>
        <v/>
      </c>
      <c r="X61" s="181" t="e">
        <f t="shared" si="31"/>
        <v>#VALUE!</v>
      </c>
    </row>
    <row r="62" spans="2:37">
      <c r="B62" s="181" t="str">
        <f>$V22</f>
        <v>Frank Allen</v>
      </c>
      <c r="C62" s="180" t="str">
        <f>Picks!B62</f>
        <v>Leeds</v>
      </c>
      <c r="D62" s="181">
        <f>Picks!C62</f>
        <v>6</v>
      </c>
      <c r="E62" s="181">
        <f>Picks!D62</f>
        <v>1.6153846153846154</v>
      </c>
      <c r="F62" s="180">
        <f>IF(C62="","",INDEX(Odds!K:K,MATCH(C62,Odds!G:G,0)))</f>
        <v>1</v>
      </c>
      <c r="G62" s="180">
        <f>IF(C62="","",Picks!M62)</f>
        <v>0</v>
      </c>
      <c r="H62" s="181">
        <f t="shared" si="21"/>
        <v>0</v>
      </c>
      <c r="I62" s="191" t="str">
        <f t="shared" si="42"/>
        <v/>
      </c>
      <c r="X62" s="181">
        <f t="shared" si="31"/>
        <v>0.61538461538461542</v>
      </c>
    </row>
    <row r="63" spans="2:37">
      <c r="B63" s="180"/>
      <c r="C63" s="180" t="str">
        <f>Picks!B63</f>
        <v>Fleetwood</v>
      </c>
      <c r="D63" s="181">
        <f>Picks!C63</f>
        <v>6</v>
      </c>
      <c r="E63" s="181">
        <f>Picks!D63</f>
        <v>2</v>
      </c>
      <c r="F63" s="180">
        <f>IF(C63="","",INDEX(Odds!K:K,MATCH(C63,Odds!G:G,0)))</f>
        <v>1</v>
      </c>
      <c r="G63" s="180">
        <f>IF(C63="","",Picks!M63)</f>
        <v>0</v>
      </c>
      <c r="H63" s="181">
        <f t="shared" si="21"/>
        <v>0</v>
      </c>
      <c r="I63" s="191" t="str">
        <f t="shared" si="42"/>
        <v/>
      </c>
      <c r="X63" s="181">
        <f t="shared" si="31"/>
        <v>1</v>
      </c>
    </row>
    <row r="64" spans="2:37" ht="13.15" thickBot="1">
      <c r="B64" s="182"/>
      <c r="C64" s="182" t="str">
        <f>Picks!B64</f>
        <v>Portsmouth</v>
      </c>
      <c r="D64" s="183">
        <f>Picks!C64</f>
        <v>6</v>
      </c>
      <c r="E64" s="183">
        <f>Picks!D64</f>
        <v>2.15</v>
      </c>
      <c r="F64" s="182">
        <f>IF(C64="","",INDEX(Odds!K:K,MATCH(C64,Odds!G:G,0)))</f>
        <v>1</v>
      </c>
      <c r="G64" s="182">
        <f>IF(C64="","",Picks!M64)</f>
        <v>1</v>
      </c>
      <c r="H64" s="183">
        <f t="shared" si="21"/>
        <v>1.1499999999999999</v>
      </c>
      <c r="I64" s="191" t="str">
        <f t="shared" si="42"/>
        <v/>
      </c>
      <c r="X64" s="181">
        <f t="shared" si="31"/>
        <v>1.1499999999999999</v>
      </c>
    </row>
    <row r="65" spans="2:24">
      <c r="B65" s="181" t="str">
        <f>$V23</f>
        <v>Gareth Powell</v>
      </c>
      <c r="C65" s="180" t="str">
        <f>Picks!B65</f>
        <v>Man U</v>
      </c>
      <c r="D65" s="181">
        <f>Picks!C65</f>
        <v>7</v>
      </c>
      <c r="E65" s="181">
        <f>Picks!D65</f>
        <v>2.2000000000000002</v>
      </c>
      <c r="F65" s="180">
        <f>IF(C65="","",INDEX(Odds!K:K,MATCH(C65,Odds!G:G,0)))</f>
        <v>1</v>
      </c>
      <c r="G65" s="180">
        <f>IF(C65="","",Picks!M65)</f>
        <v>0</v>
      </c>
      <c r="H65" s="181">
        <f t="shared" si="21"/>
        <v>0</v>
      </c>
      <c r="I65" s="191" t="str">
        <f t="shared" si="42"/>
        <v/>
      </c>
      <c r="X65" s="181">
        <f t="shared" si="31"/>
        <v>1.2000000000000002</v>
      </c>
    </row>
    <row r="66" spans="2:24">
      <c r="B66" s="180"/>
      <c r="C66" s="180" t="str">
        <f>Picks!B66</f>
        <v>Forest draw</v>
      </c>
      <c r="D66" s="181">
        <f>Picks!C66</f>
        <v>7</v>
      </c>
      <c r="E66" s="181">
        <f>Picks!D66</f>
        <v>3.4</v>
      </c>
      <c r="F66" s="180">
        <f>IF(C66="","",INDEX(Odds!K:K,MATCH(C66,Odds!G:G,0)))</f>
        <v>1</v>
      </c>
      <c r="G66" s="180">
        <f>IF(C66="","",Picks!M66)</f>
        <v>1</v>
      </c>
      <c r="H66" s="181">
        <f t="shared" ref="H66:H97" si="43">IF(C66="","",+((E66-1)*G66*F66*A$2))</f>
        <v>2.4</v>
      </c>
      <c r="I66" s="191" t="str">
        <f t="shared" si="42"/>
        <v/>
      </c>
      <c r="X66" s="181">
        <f t="shared" ref="X66:X97" si="44">+((E66-1)*F66*A$2)</f>
        <v>2.4</v>
      </c>
    </row>
    <row r="67" spans="2:24" ht="13.15" thickBot="1">
      <c r="B67" s="182"/>
      <c r="C67" s="182" t="str">
        <f>Picks!B67</f>
        <v>Man C draw</v>
      </c>
      <c r="D67" s="183">
        <f>Picks!C67</f>
        <v>1</v>
      </c>
      <c r="E67" s="183">
        <f>Picks!D67</f>
        <v>4</v>
      </c>
      <c r="F67" s="182">
        <f>IF(C67="","",INDEX(Odds!K:K,MATCH(C67,Odds!G:G,0)))</f>
        <v>1</v>
      </c>
      <c r="G67" s="182">
        <f>IF(C67="","",Picks!M67)</f>
        <v>1</v>
      </c>
      <c r="H67" s="183">
        <f t="shared" si="43"/>
        <v>3</v>
      </c>
      <c r="I67" s="191" t="str">
        <f t="shared" si="42"/>
        <v/>
      </c>
      <c r="X67" s="181">
        <f t="shared" si="44"/>
        <v>3</v>
      </c>
    </row>
    <row r="68" spans="2:24">
      <c r="B68" s="181" t="str">
        <f>$V24</f>
        <v>Gerard Ventom</v>
      </c>
      <c r="C68" s="180" t="str">
        <f>Picks!B68</f>
        <v>Coventry</v>
      </c>
      <c r="D68" s="181">
        <f>Picks!C68</f>
        <v>6</v>
      </c>
      <c r="E68" s="181">
        <f>Picks!D68</f>
        <v>2.375</v>
      </c>
      <c r="F68" s="180">
        <f>IF(C68="","",INDEX(Odds!K:K,MATCH(C68,Odds!G:G,0)))</f>
        <v>1</v>
      </c>
      <c r="G68" s="180">
        <f>IF(C68="","",Picks!M68)</f>
        <v>1</v>
      </c>
      <c r="H68" s="181">
        <f t="shared" si="43"/>
        <v>1.375</v>
      </c>
      <c r="I68" s="191" t="str">
        <f t="shared" si="42"/>
        <v/>
      </c>
      <c r="X68" s="181">
        <f t="shared" si="44"/>
        <v>1.375</v>
      </c>
    </row>
    <row r="69" spans="2:24">
      <c r="B69" s="180"/>
      <c r="C69" s="180" t="str">
        <f>Picks!B69</f>
        <v>Millwall draw</v>
      </c>
      <c r="D69" s="181">
        <f>Picks!C69</f>
        <v>6</v>
      </c>
      <c r="E69" s="181">
        <f>Picks!D69</f>
        <v>3</v>
      </c>
      <c r="F69" s="180">
        <f>IF(C69="","",INDEX(Odds!K:K,MATCH(C69,Odds!G:G,0)))</f>
        <v>1</v>
      </c>
      <c r="G69" s="180">
        <f>IF(C69="","",Picks!M69)</f>
        <v>1</v>
      </c>
      <c r="H69" s="181">
        <f t="shared" si="43"/>
        <v>2</v>
      </c>
      <c r="I69" s="191" t="str">
        <f t="shared" si="42"/>
        <v/>
      </c>
      <c r="X69" s="181">
        <f t="shared" si="44"/>
        <v>2</v>
      </c>
    </row>
    <row r="70" spans="2:24" ht="13.15" thickBot="1">
      <c r="B70" s="182"/>
      <c r="C70" s="182" t="str">
        <f>Picks!B70</f>
        <v>Southampton draw</v>
      </c>
      <c r="D70" s="183">
        <f>Picks!C70</f>
        <v>6</v>
      </c>
      <c r="E70" s="183">
        <f>Picks!D70</f>
        <v>4.2</v>
      </c>
      <c r="F70" s="182">
        <f>IF(C70="","",INDEX(Odds!K:K,MATCH(C70,Odds!G:G,0)))</f>
        <v>1</v>
      </c>
      <c r="G70" s="182">
        <f>IF(C70="","",Picks!M70)</f>
        <v>1</v>
      </c>
      <c r="H70" s="183">
        <f t="shared" si="43"/>
        <v>3.2</v>
      </c>
      <c r="I70" s="191" t="str">
        <f t="shared" si="42"/>
        <v/>
      </c>
      <c r="X70" s="181">
        <f t="shared" si="44"/>
        <v>3.2</v>
      </c>
    </row>
    <row r="71" spans="2:24">
      <c r="B71" s="181" t="str">
        <f>$V25</f>
        <v>Graham Miller</v>
      </c>
      <c r="C71" s="180" t="str">
        <f>Picks!B71</f>
        <v>Newcastle</v>
      </c>
      <c r="D71" s="181">
        <f>Picks!C71</f>
        <v>7</v>
      </c>
      <c r="E71" s="181">
        <f>Picks!D71</f>
        <v>1.85</v>
      </c>
      <c r="F71" s="180">
        <f>IF(C71="","",INDEX(Odds!K:K,MATCH(C71,Odds!G:G,0)))</f>
        <v>1</v>
      </c>
      <c r="G71" s="180">
        <f>IF(C71="","",Picks!M71)</f>
        <v>1</v>
      </c>
      <c r="H71" s="181">
        <f t="shared" si="43"/>
        <v>0.85000000000000009</v>
      </c>
      <c r="I71" s="191" t="str">
        <f t="shared" si="42"/>
        <v/>
      </c>
      <c r="X71" s="181">
        <f t="shared" si="44"/>
        <v>0.85000000000000009</v>
      </c>
    </row>
    <row r="72" spans="2:24">
      <c r="B72" s="180"/>
      <c r="C72" s="180" t="str">
        <f>Picks!B72</f>
        <v>Bournemouth</v>
      </c>
      <c r="D72" s="181">
        <f>Picks!C72</f>
        <v>7</v>
      </c>
      <c r="E72" s="181">
        <f>Picks!D72</f>
        <v>2.1</v>
      </c>
      <c r="F72" s="180">
        <f>IF(C72="","",INDEX(Odds!K:K,MATCH(C72,Odds!G:G,0)))</f>
        <v>1</v>
      </c>
      <c r="G72" s="180">
        <f>IF(C72="","",Picks!M72)</f>
        <v>1</v>
      </c>
      <c r="H72" s="181">
        <f t="shared" si="43"/>
        <v>1.1000000000000001</v>
      </c>
      <c r="I72" s="191" t="str">
        <f t="shared" si="42"/>
        <v/>
      </c>
      <c r="X72" s="181">
        <f t="shared" si="44"/>
        <v>1.1000000000000001</v>
      </c>
    </row>
    <row r="73" spans="2:24" ht="13.15" thickBot="1">
      <c r="B73" s="182"/>
      <c r="C73" s="182" t="str">
        <f>Picks!B73</f>
        <v>Brentford</v>
      </c>
      <c r="D73" s="183">
        <f>Picks!C73</f>
        <v>7</v>
      </c>
      <c r="E73" s="183">
        <f>Picks!D73</f>
        <v>2.9</v>
      </c>
      <c r="F73" s="182">
        <f>IF(C73="","",INDEX(Odds!K:K,MATCH(C73,Odds!G:G,0)))</f>
        <v>1</v>
      </c>
      <c r="G73" s="182">
        <f>IF(C73="","",Picks!M73)</f>
        <v>0</v>
      </c>
      <c r="H73" s="183">
        <f t="shared" si="43"/>
        <v>0</v>
      </c>
      <c r="I73" s="191" t="str">
        <f t="shared" si="42"/>
        <v/>
      </c>
      <c r="X73" s="181">
        <f t="shared" si="44"/>
        <v>1.9</v>
      </c>
    </row>
    <row r="74" spans="2:24">
      <c r="B74" s="180" t="str">
        <f>$V26</f>
        <v>Howard Bradley</v>
      </c>
      <c r="C74" s="180" t="str">
        <f>Picks!B74</f>
        <v>Leicester</v>
      </c>
      <c r="D74" s="181">
        <f>Picks!C74</f>
        <v>6</v>
      </c>
      <c r="E74" s="181">
        <f>Picks!D74</f>
        <v>1.8</v>
      </c>
      <c r="F74" s="180">
        <f>IF(C74="","",INDEX(Odds!K:K,MATCH(C74,Odds!G:G,0)))</f>
        <v>1</v>
      </c>
      <c r="G74" s="180">
        <f>IF(C74="","",Picks!M74)</f>
        <v>0</v>
      </c>
      <c r="H74" s="181">
        <f t="shared" si="43"/>
        <v>0</v>
      </c>
      <c r="I74" s="191" t="str">
        <f t="shared" si="42"/>
        <v/>
      </c>
      <c r="X74" s="181">
        <f t="shared" si="44"/>
        <v>0.8</v>
      </c>
    </row>
    <row r="75" spans="2:24">
      <c r="B75" s="180"/>
      <c r="C75" s="180" t="str">
        <f>Picks!B75</f>
        <v>Hull</v>
      </c>
      <c r="D75" s="181">
        <f>Picks!C75</f>
        <v>6</v>
      </c>
      <c r="E75" s="181">
        <f>Picks!D75</f>
        <v>1.9090909090909092</v>
      </c>
      <c r="F75" s="180">
        <f>IF(C75="","",INDEX(Odds!K:K,MATCH(C75,Odds!G:G,0)))</f>
        <v>1</v>
      </c>
      <c r="G75" s="180">
        <f>IF(C75="","",Picks!M75)</f>
        <v>0</v>
      </c>
      <c r="H75" s="181">
        <f t="shared" si="43"/>
        <v>0</v>
      </c>
      <c r="I75" s="191" t="str">
        <f t="shared" si="42"/>
        <v/>
      </c>
      <c r="X75" s="181">
        <f t="shared" si="44"/>
        <v>0.90909090909090917</v>
      </c>
    </row>
    <row r="76" spans="2:24" ht="13.15" thickBot="1">
      <c r="B76" s="182"/>
      <c r="C76" s="182" t="str">
        <f>Picks!B76</f>
        <v>Lincoln</v>
      </c>
      <c r="D76" s="183">
        <f>Picks!C76</f>
        <v>6</v>
      </c>
      <c r="E76" s="183">
        <f>Picks!D76</f>
        <v>2</v>
      </c>
      <c r="F76" s="182">
        <f>IF(C76="","",INDEX(Odds!K:K,MATCH(C76,Odds!G:G,0)))</f>
        <v>1</v>
      </c>
      <c r="G76" s="182">
        <f>IF(C76="","",Picks!M76)</f>
        <v>1</v>
      </c>
      <c r="H76" s="183">
        <f t="shared" si="43"/>
        <v>1</v>
      </c>
      <c r="I76" s="191" t="str">
        <f t="shared" si="42"/>
        <v/>
      </c>
      <c r="X76" s="181">
        <f t="shared" si="44"/>
        <v>1</v>
      </c>
    </row>
    <row r="77" spans="2:24">
      <c r="B77" s="180" t="str">
        <f>$V27</f>
        <v>Jack Walsh</v>
      </c>
      <c r="C77" s="180" t="str">
        <f>Picks!B77</f>
        <v>Barrow</v>
      </c>
      <c r="D77" s="181">
        <f>Picks!C77</f>
        <v>6</v>
      </c>
      <c r="E77" s="181">
        <f>Picks!D77</f>
        <v>1.95</v>
      </c>
      <c r="F77" s="180">
        <f>IF(C77="","",INDEX(Odds!K:K,MATCH(C77,Odds!G:G,0)))</f>
        <v>1</v>
      </c>
      <c r="G77" s="180">
        <f>IF(C77="","",Picks!M77)</f>
        <v>1</v>
      </c>
      <c r="H77" s="181">
        <f t="shared" si="43"/>
        <v>0.95</v>
      </c>
      <c r="I77" s="191" t="str">
        <f t="shared" si="42"/>
        <v/>
      </c>
      <c r="X77" s="181">
        <f t="shared" si="44"/>
        <v>0.95</v>
      </c>
    </row>
    <row r="78" spans="2:24">
      <c r="B78" s="180"/>
      <c r="C78" s="180" t="str">
        <f>Picks!B78</f>
        <v>Preston</v>
      </c>
      <c r="D78" s="181">
        <f>Picks!C78</f>
        <v>6</v>
      </c>
      <c r="E78" s="181">
        <f>Picks!D78</f>
        <v>1.5333333333333332</v>
      </c>
      <c r="F78" s="180">
        <f>IF(C78="","",INDEX(Odds!K:K,MATCH(C78,Odds!G:G,0)))</f>
        <v>1</v>
      </c>
      <c r="G78" s="180">
        <f>IF(C78="","",Picks!M78)</f>
        <v>1</v>
      </c>
      <c r="H78" s="181">
        <f t="shared" si="43"/>
        <v>0.53333333333333321</v>
      </c>
      <c r="I78" s="191" t="str">
        <f t="shared" si="42"/>
        <v/>
      </c>
      <c r="X78" s="181">
        <f t="shared" si="44"/>
        <v>0.53333333333333321</v>
      </c>
    </row>
    <row r="79" spans="2:24" ht="13.15" thickBot="1">
      <c r="B79" s="182"/>
      <c r="C79" s="182" t="str">
        <f>Picks!B79</f>
        <v>Salford</v>
      </c>
      <c r="D79" s="183">
        <f>Picks!C79</f>
        <v>6</v>
      </c>
      <c r="E79" s="183">
        <f>Picks!D79</f>
        <v>1.8</v>
      </c>
      <c r="F79" s="182">
        <f>IF(C79="","",INDEX(Odds!K:K,MATCH(C79,Odds!G:G,0)))</f>
        <v>1</v>
      </c>
      <c r="G79" s="182">
        <f>IF(C79="","",Picks!M79)</f>
        <v>0</v>
      </c>
      <c r="H79" s="183">
        <f t="shared" si="43"/>
        <v>0</v>
      </c>
      <c r="I79" s="191" t="str">
        <f t="shared" si="42"/>
        <v/>
      </c>
      <c r="X79" s="181">
        <f t="shared" si="44"/>
        <v>0.8</v>
      </c>
    </row>
    <row r="80" spans="2:24">
      <c r="B80" s="181" t="str">
        <f>$V28</f>
        <v>John Murphy</v>
      </c>
      <c r="C80" s="180" t="str">
        <f>Picks!B80</f>
        <v/>
      </c>
      <c r="D80" s="181" t="str">
        <f>Picks!C80</f>
        <v/>
      </c>
      <c r="E80" s="181" t="str">
        <f>Picks!D80</f>
        <v/>
      </c>
      <c r="F80" s="180" t="str">
        <f>IF(C80="","",INDEX(Odds!K:K,MATCH(C80,Odds!G:G,0)))</f>
        <v/>
      </c>
      <c r="G80" s="180" t="str">
        <f>IF(C80="","",Picks!M80)</f>
        <v/>
      </c>
      <c r="H80" s="181" t="str">
        <f t="shared" si="43"/>
        <v/>
      </c>
      <c r="I80" s="191" t="str">
        <f t="shared" si="42"/>
        <v/>
      </c>
      <c r="X80" s="181" t="e">
        <f t="shared" si="44"/>
        <v>#VALUE!</v>
      </c>
    </row>
    <row r="81" spans="2:24">
      <c r="B81" s="180"/>
      <c r="C81" s="180" t="str">
        <f>Picks!B81</f>
        <v/>
      </c>
      <c r="D81" s="181" t="str">
        <f>Picks!C81</f>
        <v/>
      </c>
      <c r="E81" s="181" t="str">
        <f>Picks!D81</f>
        <v/>
      </c>
      <c r="F81" s="180" t="str">
        <f>IF(C81="","",INDEX(Odds!K:K,MATCH(C81,Odds!G:G,0)))</f>
        <v/>
      </c>
      <c r="G81" s="180" t="str">
        <f>IF(C81="","",Picks!M81)</f>
        <v/>
      </c>
      <c r="H81" s="181" t="str">
        <f t="shared" si="43"/>
        <v/>
      </c>
      <c r="I81" s="191" t="str">
        <f t="shared" si="42"/>
        <v/>
      </c>
      <c r="X81" s="181" t="e">
        <f t="shared" si="44"/>
        <v>#VALUE!</v>
      </c>
    </row>
    <row r="82" spans="2:24" ht="13.15" thickBot="1">
      <c r="B82" s="182"/>
      <c r="C82" s="182" t="str">
        <f>Picks!B82</f>
        <v/>
      </c>
      <c r="D82" s="183" t="str">
        <f>Picks!C82</f>
        <v/>
      </c>
      <c r="E82" s="183" t="str">
        <f>Picks!D82</f>
        <v/>
      </c>
      <c r="F82" s="182" t="str">
        <f>IF(C82="","",INDEX(Odds!K:K,MATCH(C82,Odds!G:G,0)))</f>
        <v/>
      </c>
      <c r="G82" s="182" t="str">
        <f>IF(C82="","",Picks!M82)</f>
        <v/>
      </c>
      <c r="H82" s="183" t="str">
        <f t="shared" si="43"/>
        <v/>
      </c>
      <c r="I82" s="191" t="str">
        <f t="shared" si="42"/>
        <v/>
      </c>
      <c r="X82" s="181" t="e">
        <f t="shared" si="44"/>
        <v>#VALUE!</v>
      </c>
    </row>
    <row r="83" spans="2:24">
      <c r="B83" s="181" t="str">
        <f>$V29</f>
        <v>Julie Dodd</v>
      </c>
      <c r="C83" s="180" t="str">
        <f>Picks!B83</f>
        <v/>
      </c>
      <c r="D83" s="181" t="str">
        <f>Picks!C83</f>
        <v/>
      </c>
      <c r="E83" s="181" t="str">
        <f>Picks!D83</f>
        <v/>
      </c>
      <c r="F83" s="180" t="str">
        <f>IF(C83="","",INDEX(Odds!K:K,MATCH(C83,Odds!G:G,0)))</f>
        <v/>
      </c>
      <c r="G83" s="180" t="str">
        <f>IF(C83="","",Picks!M83)</f>
        <v/>
      </c>
      <c r="H83" s="181" t="str">
        <f t="shared" si="43"/>
        <v/>
      </c>
      <c r="I83" s="191" t="str">
        <f t="shared" si="42"/>
        <v/>
      </c>
      <c r="X83" s="181" t="e">
        <f t="shared" si="44"/>
        <v>#VALUE!</v>
      </c>
    </row>
    <row r="84" spans="2:24">
      <c r="B84" s="180"/>
      <c r="C84" s="180" t="str">
        <f>Picks!B84</f>
        <v/>
      </c>
      <c r="D84" s="181" t="str">
        <f>Picks!C84</f>
        <v/>
      </c>
      <c r="E84" s="181" t="str">
        <f>Picks!D84</f>
        <v/>
      </c>
      <c r="F84" s="180" t="str">
        <f>IF(C84="","",INDEX(Odds!K:K,MATCH(C84,Odds!G:G,0)))</f>
        <v/>
      </c>
      <c r="G84" s="180" t="str">
        <f>IF(C84="","",Picks!M84)</f>
        <v/>
      </c>
      <c r="H84" s="181" t="str">
        <f t="shared" si="43"/>
        <v/>
      </c>
      <c r="I84" s="191" t="str">
        <f t="shared" si="42"/>
        <v/>
      </c>
      <c r="X84" s="181" t="e">
        <f t="shared" si="44"/>
        <v>#VALUE!</v>
      </c>
    </row>
    <row r="85" spans="2:24" ht="13.15" thickBot="1">
      <c r="B85" s="182"/>
      <c r="C85" s="182" t="str">
        <f>Picks!B85</f>
        <v/>
      </c>
      <c r="D85" s="183" t="str">
        <f>Picks!C85</f>
        <v/>
      </c>
      <c r="E85" s="183" t="str">
        <f>Picks!D85</f>
        <v/>
      </c>
      <c r="F85" s="182" t="str">
        <f>IF(C85="","",INDEX(Odds!K:K,MATCH(C85,Odds!G:G,0)))</f>
        <v/>
      </c>
      <c r="G85" s="182" t="str">
        <f>IF(C85="","",Picks!M85)</f>
        <v/>
      </c>
      <c r="H85" s="183" t="str">
        <f t="shared" si="43"/>
        <v/>
      </c>
      <c r="I85" s="191" t="str">
        <f t="shared" si="42"/>
        <v/>
      </c>
      <c r="X85" s="181" t="e">
        <f t="shared" si="44"/>
        <v>#VALUE!</v>
      </c>
    </row>
    <row r="86" spans="2:24">
      <c r="B86" s="181" t="str">
        <f>$V30</f>
        <v>Kevin Carter</v>
      </c>
      <c r="C86" s="180" t="str">
        <f>Picks!B86</f>
        <v>Leeds</v>
      </c>
      <c r="D86" s="181">
        <f>Picks!C86</f>
        <v>6</v>
      </c>
      <c r="E86" s="181">
        <f>Picks!D86</f>
        <v>1.6153846153846154</v>
      </c>
      <c r="F86" s="180">
        <f>IF(C86="","",INDEX(Odds!K:K,MATCH(C86,Odds!G:G,0)))</f>
        <v>1</v>
      </c>
      <c r="G86" s="180">
        <f>IF(C86="","",Picks!M86)</f>
        <v>0</v>
      </c>
      <c r="H86" s="181">
        <f t="shared" si="43"/>
        <v>0</v>
      </c>
      <c r="I86" s="191" t="str">
        <f t="shared" si="42"/>
        <v/>
      </c>
      <c r="X86" s="181">
        <f t="shared" si="44"/>
        <v>0.61538461538461542</v>
      </c>
    </row>
    <row r="87" spans="2:24">
      <c r="B87" s="180"/>
      <c r="C87" s="180" t="str">
        <f>Picks!B87</f>
        <v>Preston</v>
      </c>
      <c r="D87" s="181">
        <f>Picks!C87</f>
        <v>6</v>
      </c>
      <c r="E87" s="181">
        <f>Picks!D87</f>
        <v>1.5333333333333332</v>
      </c>
      <c r="F87" s="180">
        <f>IF(C87="","",INDEX(Odds!K:K,MATCH(C87,Odds!G:G,0)))</f>
        <v>1</v>
      </c>
      <c r="G87" s="180">
        <f>IF(C87="","",Picks!M87)</f>
        <v>1</v>
      </c>
      <c r="H87" s="181">
        <f t="shared" si="43"/>
        <v>0.53333333333333321</v>
      </c>
      <c r="I87" s="191" t="str">
        <f t="shared" ref="I87:I108" si="45">IF(V84="","",V84)</f>
        <v/>
      </c>
      <c r="X87" s="181">
        <f t="shared" si="44"/>
        <v>0.53333333333333321</v>
      </c>
    </row>
    <row r="88" spans="2:24" ht="13.15" thickBot="1">
      <c r="B88" s="182"/>
      <c r="C88" s="182" t="str">
        <f>Picks!B88</f>
        <v>MK Dons</v>
      </c>
      <c r="D88" s="183">
        <f>Picks!C88</f>
        <v>6</v>
      </c>
      <c r="E88" s="183">
        <f>Picks!D88</f>
        <v>1.9090909090909092</v>
      </c>
      <c r="F88" s="182">
        <f>IF(C88="","",INDEX(Odds!K:K,MATCH(C88,Odds!G:G,0)))</f>
        <v>1</v>
      </c>
      <c r="G88" s="182">
        <f>IF(C88="","",Picks!M88)</f>
        <v>1</v>
      </c>
      <c r="H88" s="183">
        <f t="shared" si="43"/>
        <v>0.90909090909090917</v>
      </c>
      <c r="I88" s="191" t="str">
        <f t="shared" si="45"/>
        <v/>
      </c>
      <c r="X88" s="181">
        <f t="shared" si="44"/>
        <v>0.90909090909090917</v>
      </c>
    </row>
    <row r="89" spans="2:24">
      <c r="B89" s="181" t="str">
        <f>$V31</f>
        <v>Lennie Bow</v>
      </c>
      <c r="C89" s="180" t="str">
        <f>Picks!B89</f>
        <v>Norwich</v>
      </c>
      <c r="D89" s="181">
        <f>Picks!C89</f>
        <v>6</v>
      </c>
      <c r="E89" s="181">
        <f>Picks!D89</f>
        <v>1.5</v>
      </c>
      <c r="F89" s="180">
        <f>IF(C89="","",INDEX(Odds!K:K,MATCH(C89,Odds!G:G,0)))</f>
        <v>1</v>
      </c>
      <c r="G89" s="180">
        <f>IF(C89="","",Picks!M89)</f>
        <v>1</v>
      </c>
      <c r="H89" s="181">
        <f t="shared" si="43"/>
        <v>0.5</v>
      </c>
      <c r="I89" s="191" t="str">
        <f t="shared" si="45"/>
        <v/>
      </c>
      <c r="X89" s="181">
        <f t="shared" si="44"/>
        <v>0.5</v>
      </c>
    </row>
    <row r="90" spans="2:24">
      <c r="B90" s="180"/>
      <c r="C90" s="180" t="str">
        <f>Picks!B90</f>
        <v>Barnsley</v>
      </c>
      <c r="D90" s="181">
        <f>Picks!C90</f>
        <v>6</v>
      </c>
      <c r="E90" s="181">
        <f>Picks!D90</f>
        <v>1.5333333333333332</v>
      </c>
      <c r="F90" s="180">
        <f>IF(C90="","",INDEX(Odds!K:K,MATCH(C90,Odds!G:G,0)))</f>
        <v>1</v>
      </c>
      <c r="G90" s="180">
        <f>IF(C90="","",Picks!M90)</f>
        <v>0</v>
      </c>
      <c r="H90" s="181">
        <f t="shared" si="43"/>
        <v>0</v>
      </c>
      <c r="I90" s="191" t="str">
        <f t="shared" si="45"/>
        <v/>
      </c>
      <c r="X90" s="181">
        <f t="shared" si="44"/>
        <v>0.53333333333333321</v>
      </c>
    </row>
    <row r="91" spans="2:24" ht="13.15" thickBot="1">
      <c r="B91" s="182"/>
      <c r="C91" s="182" t="str">
        <f>Picks!B91</f>
        <v>Peterborough</v>
      </c>
      <c r="D91" s="183">
        <f>Picks!C91</f>
        <v>6</v>
      </c>
      <c r="E91" s="183">
        <f>Picks!D91</f>
        <v>1.2857142857142856</v>
      </c>
      <c r="F91" s="182">
        <f>IF(C91="","",INDEX(Odds!K:K,MATCH(C91,Odds!G:G,0)))</f>
        <v>1</v>
      </c>
      <c r="G91" s="182">
        <f>IF(C91="","",Picks!M91)</f>
        <v>0</v>
      </c>
      <c r="H91" s="183">
        <f t="shared" si="43"/>
        <v>0</v>
      </c>
      <c r="I91" s="191" t="str">
        <f t="shared" si="45"/>
        <v/>
      </c>
      <c r="X91" s="181">
        <f t="shared" si="44"/>
        <v>0.28571428571428559</v>
      </c>
    </row>
    <row r="92" spans="2:24">
      <c r="B92" s="181" t="str">
        <f>$V32</f>
        <v>Mark Bunn</v>
      </c>
      <c r="C92" s="180" t="str">
        <f>Picks!B92</f>
        <v>Cardiff</v>
      </c>
      <c r="D92" s="181">
        <f>Picks!C92</f>
        <v>6</v>
      </c>
      <c r="E92" s="181">
        <f>Picks!D92</f>
        <v>2.6</v>
      </c>
      <c r="F92" s="180">
        <f>IF(C92="","",INDEX(Odds!K:K,MATCH(C92,Odds!G:G,0)))</f>
        <v>1</v>
      </c>
      <c r="G92" s="180">
        <f>IF(C92="","",Picks!M92)</f>
        <v>0</v>
      </c>
      <c r="H92" s="181">
        <f t="shared" si="43"/>
        <v>0</v>
      </c>
      <c r="I92" s="191" t="str">
        <f t="shared" si="45"/>
        <v/>
      </c>
      <c r="X92" s="181">
        <f t="shared" si="44"/>
        <v>1.6</v>
      </c>
    </row>
    <row r="93" spans="2:24">
      <c r="B93" s="180"/>
      <c r="C93" s="180" t="str">
        <f>Picks!B93</f>
        <v>Coventry</v>
      </c>
      <c r="D93" s="181">
        <f>Picks!C93</f>
        <v>6</v>
      </c>
      <c r="E93" s="181">
        <f>Picks!D93</f>
        <v>2.375</v>
      </c>
      <c r="F93" s="180">
        <f>IF(C93="","",INDEX(Odds!K:K,MATCH(C93,Odds!G:G,0)))</f>
        <v>1</v>
      </c>
      <c r="G93" s="180">
        <f>IF(C93="","",Picks!M93)</f>
        <v>1</v>
      </c>
      <c r="H93" s="181">
        <f t="shared" si="43"/>
        <v>1.375</v>
      </c>
      <c r="I93" s="191" t="str">
        <f t="shared" si="45"/>
        <v/>
      </c>
      <c r="X93" s="181">
        <f t="shared" si="44"/>
        <v>1.375</v>
      </c>
    </row>
    <row r="94" spans="2:24" ht="13.15" thickBot="1">
      <c r="B94" s="182"/>
      <c r="C94" s="182" t="str">
        <f>Picks!B94</f>
        <v>Newport</v>
      </c>
      <c r="D94" s="183">
        <f>Picks!C94</f>
        <v>6</v>
      </c>
      <c r="E94" s="183">
        <f>Picks!D94</f>
        <v>3.5</v>
      </c>
      <c r="F94" s="182">
        <f>IF(C94="","",INDEX(Odds!K:K,MATCH(C94,Odds!G:G,0)))</f>
        <v>1</v>
      </c>
      <c r="G94" s="182">
        <f>IF(C94="","",Picks!M94)</f>
        <v>0</v>
      </c>
      <c r="H94" s="183">
        <f t="shared" si="43"/>
        <v>0</v>
      </c>
      <c r="I94" s="191" t="str">
        <f t="shared" si="45"/>
        <v/>
      </c>
      <c r="X94" s="181">
        <f t="shared" si="44"/>
        <v>2.5</v>
      </c>
    </row>
    <row r="95" spans="2:24">
      <c r="B95" s="181" t="str">
        <f>$V33</f>
        <v>Mark Saunders</v>
      </c>
      <c r="C95" s="180" t="str">
        <f>Picks!B95</f>
        <v>Wrexham</v>
      </c>
      <c r="D95" s="181">
        <f>Picks!C95</f>
        <v>6</v>
      </c>
      <c r="E95" s="181">
        <f>Picks!D95</f>
        <v>2.2999999999999998</v>
      </c>
      <c r="F95" s="180">
        <f>IF(C95="","",INDEX(Odds!K:K,MATCH(C95,Odds!G:G,0)))</f>
        <v>1</v>
      </c>
      <c r="G95" s="180">
        <f>IF(C95="","",Picks!M95)</f>
        <v>1</v>
      </c>
      <c r="H95" s="181">
        <f t="shared" si="43"/>
        <v>1.2999999999999998</v>
      </c>
      <c r="I95" s="191" t="str">
        <f t="shared" si="45"/>
        <v/>
      </c>
      <c r="X95" s="181">
        <f t="shared" si="44"/>
        <v>1.2999999999999998</v>
      </c>
    </row>
    <row r="96" spans="2:24">
      <c r="B96" s="184"/>
      <c r="C96" s="180" t="str">
        <f>Picks!B96</f>
        <v>Everton</v>
      </c>
      <c r="D96" s="181">
        <f>Picks!C96</f>
        <v>7</v>
      </c>
      <c r="E96" s="181">
        <f>Picks!D96</f>
        <v>3.2</v>
      </c>
      <c r="F96" s="180">
        <f>IF(C96="","",INDEX(Odds!K:K,MATCH(C96,Odds!G:G,0)))</f>
        <v>1</v>
      </c>
      <c r="G96" s="180">
        <f>IF(C96="","",Picks!M96)</f>
        <v>0</v>
      </c>
      <c r="H96" s="181">
        <f t="shared" si="43"/>
        <v>0</v>
      </c>
      <c r="I96" s="191" t="str">
        <f t="shared" si="45"/>
        <v/>
      </c>
      <c r="X96" s="181">
        <f t="shared" si="44"/>
        <v>2.2000000000000002</v>
      </c>
    </row>
    <row r="97" spans="2:24" ht="13.15" thickBot="1">
      <c r="B97" s="182"/>
      <c r="C97" s="182" t="str">
        <f>Picks!B97</f>
        <v>Man C</v>
      </c>
      <c r="D97" s="183">
        <f>Picks!C97</f>
        <v>1</v>
      </c>
      <c r="E97" s="183">
        <f>Picks!D97</f>
        <v>1.8333333333333335</v>
      </c>
      <c r="F97" s="182">
        <f>IF(C97="","",INDEX(Odds!K:K,MATCH(C97,Odds!G:G,0)))</f>
        <v>1</v>
      </c>
      <c r="G97" s="182">
        <f>IF(C97="","",Picks!M97)</f>
        <v>0</v>
      </c>
      <c r="H97" s="183">
        <f t="shared" si="43"/>
        <v>0</v>
      </c>
      <c r="I97" s="191" t="str">
        <f t="shared" si="45"/>
        <v/>
      </c>
      <c r="X97" s="181">
        <f t="shared" si="44"/>
        <v>0.83333333333333348</v>
      </c>
    </row>
    <row r="98" spans="2:24">
      <c r="B98" s="181" t="str">
        <f>$V34</f>
        <v>Martin Molyneux</v>
      </c>
      <c r="C98" s="180" t="str">
        <f>Picks!B98</f>
        <v>Barrow</v>
      </c>
      <c r="D98" s="181">
        <f>Picks!C98</f>
        <v>6</v>
      </c>
      <c r="E98" s="181">
        <f>Picks!D98</f>
        <v>1.95</v>
      </c>
      <c r="F98" s="180">
        <f>IF(C98="","",INDEX(Odds!K:K,MATCH(C98,Odds!G:G,0)))</f>
        <v>1</v>
      </c>
      <c r="G98" s="180">
        <f>IF(C98="","",Picks!M98)</f>
        <v>1</v>
      </c>
      <c r="H98" s="181">
        <f t="shared" ref="H98:H129" si="46">IF(C98="","",+((E98-1)*G98*F98*A$2))</f>
        <v>0.95</v>
      </c>
      <c r="I98" s="191" t="str">
        <f t="shared" si="45"/>
        <v/>
      </c>
      <c r="X98" s="181">
        <f t="shared" ref="X98:X129" si="47">+((E98-1)*F98*A$2)</f>
        <v>0.95</v>
      </c>
    </row>
    <row r="99" spans="2:24">
      <c r="B99" s="180"/>
      <c r="C99" s="180" t="str">
        <f>Picks!B99</f>
        <v>Spurs</v>
      </c>
      <c r="D99" s="181">
        <f>Picks!C99</f>
        <v>7</v>
      </c>
      <c r="E99" s="181">
        <f>Picks!D99</f>
        <v>1.2222222222222223</v>
      </c>
      <c r="F99" s="180">
        <f>IF(C99="","",INDEX(Odds!K:K,MATCH(C99,Odds!G:G,0)))</f>
        <v>1</v>
      </c>
      <c r="G99" s="180">
        <f>IF(C99="","",Picks!M99)</f>
        <v>1</v>
      </c>
      <c r="H99" s="181">
        <f t="shared" si="46"/>
        <v>0.22222222222222232</v>
      </c>
      <c r="I99" s="191" t="str">
        <f t="shared" si="45"/>
        <v/>
      </c>
      <c r="X99" s="181">
        <f t="shared" si="47"/>
        <v>0.22222222222222232</v>
      </c>
    </row>
    <row r="100" spans="2:24" ht="13.15" thickBot="1">
      <c r="B100" s="182"/>
      <c r="C100" s="182" t="str">
        <f>Picks!B100</f>
        <v>Newcastle</v>
      </c>
      <c r="D100" s="183">
        <f>Picks!C100</f>
        <v>7</v>
      </c>
      <c r="E100" s="183">
        <f>Picks!D100</f>
        <v>1.85</v>
      </c>
      <c r="F100" s="182">
        <f>IF(C100="","",INDEX(Odds!K:K,MATCH(C100,Odds!G:G,0)))</f>
        <v>1</v>
      </c>
      <c r="G100" s="182">
        <f>IF(C100="","",Picks!M100)</f>
        <v>1</v>
      </c>
      <c r="H100" s="183">
        <f t="shared" si="46"/>
        <v>0.85000000000000009</v>
      </c>
      <c r="I100" s="191" t="str">
        <f t="shared" si="45"/>
        <v/>
      </c>
      <c r="X100" s="181">
        <f t="shared" si="47"/>
        <v>0.85000000000000009</v>
      </c>
    </row>
    <row r="101" spans="2:24">
      <c r="B101" s="181" t="str">
        <f>$V35</f>
        <v>Martin Tarbuck</v>
      </c>
      <c r="C101" s="180" t="str">
        <f>Picks!B101</f>
        <v>Preston</v>
      </c>
      <c r="D101" s="181">
        <f>Picks!C101</f>
        <v>6</v>
      </c>
      <c r="E101" s="181">
        <f>Picks!D101</f>
        <v>1.5333333333333332</v>
      </c>
      <c r="F101" s="180">
        <f>IF(C101="","",INDEX(Odds!K:K,MATCH(C101,Odds!G:G,0)))</f>
        <v>1</v>
      </c>
      <c r="G101" s="180">
        <f>IF(C101="","",Picks!M101)</f>
        <v>1</v>
      </c>
      <c r="H101" s="181">
        <f t="shared" si="46"/>
        <v>0.53333333333333321</v>
      </c>
      <c r="I101" s="191" t="str">
        <f t="shared" si="45"/>
        <v/>
      </c>
      <c r="X101" s="181">
        <f t="shared" si="47"/>
        <v>0.53333333333333321</v>
      </c>
    </row>
    <row r="102" spans="2:24">
      <c r="B102" s="180"/>
      <c r="C102" s="180" t="str">
        <f>Picks!B102</f>
        <v>Stockport</v>
      </c>
      <c r="D102" s="181">
        <f>Picks!C102</f>
        <v>6</v>
      </c>
      <c r="E102" s="181">
        <f>Picks!D102</f>
        <v>1.65</v>
      </c>
      <c r="F102" s="180">
        <f>IF(C102="","",INDEX(Odds!K:K,MATCH(C102,Odds!G:G,0)))</f>
        <v>1</v>
      </c>
      <c r="G102" s="180">
        <f>IF(C102="","",Picks!M102)</f>
        <v>1</v>
      </c>
      <c r="H102" s="181">
        <f t="shared" si="46"/>
        <v>0.64999999999999991</v>
      </c>
      <c r="I102" s="191" t="str">
        <f t="shared" si="45"/>
        <v/>
      </c>
      <c r="X102" s="181">
        <f t="shared" si="47"/>
        <v>0.64999999999999991</v>
      </c>
    </row>
    <row r="103" spans="2:24" ht="13.15" thickBot="1">
      <c r="B103" s="182"/>
      <c r="C103" s="182" t="str">
        <f>Picks!B103</f>
        <v>Lincoln</v>
      </c>
      <c r="D103" s="183">
        <f>Picks!C103</f>
        <v>6</v>
      </c>
      <c r="E103" s="183">
        <f>Picks!D103</f>
        <v>2</v>
      </c>
      <c r="F103" s="182">
        <f>IF(C103="","",INDEX(Odds!K:K,MATCH(C103,Odds!G:G,0)))</f>
        <v>1</v>
      </c>
      <c r="G103" s="182">
        <f>IF(C103="","",Picks!M103)</f>
        <v>1</v>
      </c>
      <c r="H103" s="183">
        <f t="shared" si="46"/>
        <v>1</v>
      </c>
      <c r="I103" s="191" t="str">
        <f t="shared" si="45"/>
        <v/>
      </c>
      <c r="X103" s="181">
        <f t="shared" si="47"/>
        <v>1</v>
      </c>
    </row>
    <row r="104" spans="2:24">
      <c r="B104" s="181" t="str">
        <f>$V36</f>
        <v>Mike Penk</v>
      </c>
      <c r="C104" s="180" t="str">
        <f>Picks!B104</f>
        <v>Coventry</v>
      </c>
      <c r="D104" s="181">
        <f>Picks!C104</f>
        <v>6</v>
      </c>
      <c r="E104" s="181">
        <f>Picks!D104</f>
        <v>2.375</v>
      </c>
      <c r="F104" s="180">
        <f>IF(C104="","",INDEX(Odds!K:K,MATCH(C104,Odds!G:G,0)))</f>
        <v>1</v>
      </c>
      <c r="G104" s="180">
        <f>IF(C104="","",Picks!M104)</f>
        <v>1</v>
      </c>
      <c r="H104" s="181">
        <f t="shared" si="46"/>
        <v>1.375</v>
      </c>
      <c r="I104" s="191" t="str">
        <f t="shared" si="45"/>
        <v/>
      </c>
      <c r="X104" s="181">
        <f t="shared" si="47"/>
        <v>1.375</v>
      </c>
    </row>
    <row r="105" spans="2:24">
      <c r="B105" s="180"/>
      <c r="C105" s="180" t="str">
        <f>Picks!B105</f>
        <v>Accrington</v>
      </c>
      <c r="D105" s="181">
        <f>Picks!C105</f>
        <v>6</v>
      </c>
      <c r="E105" s="181">
        <f>Picks!D105</f>
        <v>2.1</v>
      </c>
      <c r="F105" s="180">
        <f>IF(C105="","",INDEX(Odds!K:K,MATCH(C105,Odds!G:G,0)))</f>
        <v>1</v>
      </c>
      <c r="G105" s="180">
        <f>IF(C105="","",Picks!M105)</f>
        <v>0</v>
      </c>
      <c r="H105" s="181">
        <f t="shared" si="46"/>
        <v>0</v>
      </c>
      <c r="I105" s="191" t="str">
        <f t="shared" si="45"/>
        <v/>
      </c>
      <c r="X105" s="181">
        <f t="shared" si="47"/>
        <v>1.1000000000000001</v>
      </c>
    </row>
    <row r="106" spans="2:24" ht="13.15" thickBot="1">
      <c r="B106" s="182"/>
      <c r="C106" s="182" t="str">
        <f>Picks!B106</f>
        <v>Bradford</v>
      </c>
      <c r="D106" s="183">
        <f>Picks!C106</f>
        <v>6</v>
      </c>
      <c r="E106" s="183">
        <f>Picks!D106</f>
        <v>2</v>
      </c>
      <c r="F106" s="182">
        <f>IF(C106="","",INDEX(Odds!K:K,MATCH(C106,Odds!G:G,0)))</f>
        <v>1</v>
      </c>
      <c r="G106" s="182">
        <f>IF(C106="","",Picks!M106)</f>
        <v>1</v>
      </c>
      <c r="H106" s="183">
        <f t="shared" si="46"/>
        <v>1</v>
      </c>
      <c r="I106" s="191" t="str">
        <f t="shared" si="45"/>
        <v/>
      </c>
      <c r="X106" s="181">
        <f t="shared" si="47"/>
        <v>1</v>
      </c>
    </row>
    <row r="107" spans="2:24">
      <c r="B107" s="181" t="str">
        <f>$V37</f>
        <v>Mo Sudell</v>
      </c>
      <c r="C107" s="180" t="str">
        <f>Picks!B107</f>
        <v>Preston</v>
      </c>
      <c r="D107" s="181">
        <f>Picks!C107</f>
        <v>6</v>
      </c>
      <c r="E107" s="181">
        <f>Picks!D107</f>
        <v>1.5333333333333332</v>
      </c>
      <c r="F107" s="180">
        <f>IF(C107="","",INDEX(Odds!K:K,MATCH(C107,Odds!G:G,0)))</f>
        <v>1</v>
      </c>
      <c r="G107" s="180">
        <f>IF(C107="","",Picks!M107)</f>
        <v>1</v>
      </c>
      <c r="H107" s="181">
        <f t="shared" si="46"/>
        <v>0.53333333333333321</v>
      </c>
      <c r="I107" s="191" t="str">
        <f t="shared" si="45"/>
        <v/>
      </c>
      <c r="X107" s="181">
        <f t="shared" si="47"/>
        <v>0.53333333333333321</v>
      </c>
    </row>
    <row r="108" spans="2:24">
      <c r="B108" s="180"/>
      <c r="C108" s="180" t="str">
        <f>Picks!B108</f>
        <v>Barnsley</v>
      </c>
      <c r="D108" s="181">
        <f>Picks!C108</f>
        <v>6</v>
      </c>
      <c r="E108" s="181">
        <f>Picks!D108</f>
        <v>1.5333333333333332</v>
      </c>
      <c r="F108" s="180">
        <f>IF(C108="","",INDEX(Odds!K:K,MATCH(C108,Odds!G:G,0)))</f>
        <v>1</v>
      </c>
      <c r="G108" s="180">
        <f>IF(C108="","",Picks!M108)</f>
        <v>0</v>
      </c>
      <c r="H108" s="181">
        <f t="shared" si="46"/>
        <v>0</v>
      </c>
      <c r="I108" s="191" t="str">
        <f t="shared" si="45"/>
        <v/>
      </c>
      <c r="X108" s="181">
        <f t="shared" si="47"/>
        <v>0.53333333333333321</v>
      </c>
    </row>
    <row r="109" spans="2:24" ht="13.15" thickBot="1">
      <c r="B109" s="182"/>
      <c r="C109" s="182" t="str">
        <f>Picks!B109</f>
        <v>Wigan</v>
      </c>
      <c r="D109" s="183">
        <f>Picks!C109</f>
        <v>6</v>
      </c>
      <c r="E109" s="183">
        <f>Picks!D109</f>
        <v>1.95</v>
      </c>
      <c r="F109" s="182">
        <f>IF(C109="","",INDEX(Odds!K:K,MATCH(C109,Odds!G:G,0)))</f>
        <v>1</v>
      </c>
      <c r="G109" s="182">
        <f>IF(C109="","",Picks!M109)</f>
        <v>0</v>
      </c>
      <c r="H109" s="183">
        <f t="shared" si="46"/>
        <v>0</v>
      </c>
      <c r="I109" s="191" t="str">
        <f t="shared" ref="I109:I148" si="48">IF(V106="","",V106)</f>
        <v/>
      </c>
      <c r="X109" s="181">
        <f t="shared" si="47"/>
        <v>0.95</v>
      </c>
    </row>
    <row r="110" spans="2:24">
      <c r="B110" s="181" t="str">
        <f>$V38</f>
        <v>Nick Blocksidge</v>
      </c>
      <c r="C110" s="180" t="str">
        <f>Picks!B110</f>
        <v/>
      </c>
      <c r="D110" s="181" t="str">
        <f>Picks!C110</f>
        <v/>
      </c>
      <c r="E110" s="181" t="str">
        <f>Picks!D110</f>
        <v/>
      </c>
      <c r="F110" s="180" t="str">
        <f>IF(C110="","",INDEX(Odds!K:K,MATCH(C110,Odds!G:G,0)))</f>
        <v/>
      </c>
      <c r="G110" s="180" t="str">
        <f>IF(C110="","",Picks!M110)</f>
        <v/>
      </c>
      <c r="H110" s="181" t="str">
        <f t="shared" si="46"/>
        <v/>
      </c>
      <c r="I110" s="191" t="str">
        <f t="shared" si="48"/>
        <v/>
      </c>
      <c r="X110" s="181" t="e">
        <f t="shared" si="47"/>
        <v>#VALUE!</v>
      </c>
    </row>
    <row r="111" spans="2:24">
      <c r="B111" s="180"/>
      <c r="C111" s="180" t="str">
        <f>Picks!B111</f>
        <v/>
      </c>
      <c r="D111" s="181" t="str">
        <f>Picks!C111</f>
        <v/>
      </c>
      <c r="E111" s="181" t="str">
        <f>Picks!D111</f>
        <v/>
      </c>
      <c r="F111" s="180" t="str">
        <f>IF(C111="","",INDEX(Odds!K:K,MATCH(C111,Odds!G:G,0)))</f>
        <v/>
      </c>
      <c r="G111" s="180" t="str">
        <f>IF(C111="","",Picks!M111)</f>
        <v/>
      </c>
      <c r="H111" s="181" t="str">
        <f t="shared" si="46"/>
        <v/>
      </c>
      <c r="I111" s="191" t="str">
        <f t="shared" si="48"/>
        <v/>
      </c>
      <c r="X111" s="181" t="e">
        <f t="shared" si="47"/>
        <v>#VALUE!</v>
      </c>
    </row>
    <row r="112" spans="2:24" ht="13.15" thickBot="1">
      <c r="B112" s="182"/>
      <c r="C112" s="182" t="str">
        <f>Picks!B112</f>
        <v/>
      </c>
      <c r="D112" s="183" t="str">
        <f>Picks!C112</f>
        <v/>
      </c>
      <c r="E112" s="183" t="str">
        <f>Picks!D112</f>
        <v/>
      </c>
      <c r="F112" s="182" t="str">
        <f>IF(C112="","",INDEX(Odds!K:K,MATCH(C112,Odds!G:G,0)))</f>
        <v/>
      </c>
      <c r="G112" s="182" t="str">
        <f>IF(C112="","",Picks!M112)</f>
        <v/>
      </c>
      <c r="H112" s="183" t="str">
        <f t="shared" si="46"/>
        <v/>
      </c>
      <c r="I112" s="191" t="str">
        <f t="shared" si="48"/>
        <v/>
      </c>
      <c r="X112" s="181" t="e">
        <f t="shared" si="47"/>
        <v>#VALUE!</v>
      </c>
    </row>
    <row r="113" spans="2:24">
      <c r="B113" s="181" t="str">
        <f>$V39</f>
        <v>Nigel Heyes</v>
      </c>
      <c r="C113" s="180" t="str">
        <f>Picks!B113</f>
        <v>Cardiff</v>
      </c>
      <c r="D113" s="181">
        <f>Picks!C113</f>
        <v>6</v>
      </c>
      <c r="E113" s="181">
        <f>Picks!D113</f>
        <v>2.6</v>
      </c>
      <c r="F113" s="180">
        <f>IF(C113="","",INDEX(Odds!K:K,MATCH(C113,Odds!G:G,0)))</f>
        <v>1</v>
      </c>
      <c r="G113" s="180">
        <f>IF(C113="","",Picks!M113)</f>
        <v>0</v>
      </c>
      <c r="H113" s="181">
        <f t="shared" si="46"/>
        <v>0</v>
      </c>
      <c r="I113" s="191" t="str">
        <f t="shared" si="48"/>
        <v/>
      </c>
      <c r="X113" s="181">
        <f t="shared" si="47"/>
        <v>1.6</v>
      </c>
    </row>
    <row r="114" spans="2:24">
      <c r="B114" s="180"/>
      <c r="C114" s="180" t="str">
        <f>Picks!B114</f>
        <v>Wigan</v>
      </c>
      <c r="D114" s="181">
        <f>Picks!C114</f>
        <v>6</v>
      </c>
      <c r="E114" s="181">
        <f>Picks!D114</f>
        <v>1.95</v>
      </c>
      <c r="F114" s="180">
        <f>IF(C114="","",INDEX(Odds!K:K,MATCH(C114,Odds!G:G,0)))</f>
        <v>1</v>
      </c>
      <c r="G114" s="180">
        <f>IF(C114="","",Picks!M114)</f>
        <v>0</v>
      </c>
      <c r="H114" s="181">
        <f t="shared" si="46"/>
        <v>0</v>
      </c>
      <c r="I114" s="191" t="str">
        <f t="shared" si="48"/>
        <v/>
      </c>
      <c r="X114" s="181">
        <f t="shared" si="47"/>
        <v>0.95</v>
      </c>
    </row>
    <row r="115" spans="2:24" ht="13.15" thickBot="1">
      <c r="B115" s="182"/>
      <c r="C115" s="182" t="str">
        <f>Picks!B115</f>
        <v>Barrow</v>
      </c>
      <c r="D115" s="183">
        <f>Picks!C115</f>
        <v>6</v>
      </c>
      <c r="E115" s="183">
        <f>Picks!D115</f>
        <v>1.95</v>
      </c>
      <c r="F115" s="182">
        <f>IF(C115="","",INDEX(Odds!K:K,MATCH(C115,Odds!G:G,0)))</f>
        <v>1</v>
      </c>
      <c r="G115" s="182">
        <f>IF(C115="","",Picks!M115)</f>
        <v>1</v>
      </c>
      <c r="H115" s="183">
        <f t="shared" si="46"/>
        <v>0.95</v>
      </c>
      <c r="I115" s="191" t="str">
        <f t="shared" si="48"/>
        <v/>
      </c>
      <c r="X115" s="181">
        <f t="shared" si="47"/>
        <v>0.95</v>
      </c>
    </row>
    <row r="116" spans="2:24">
      <c r="B116" s="181" t="str">
        <f>$V40</f>
        <v>Paul Adderley</v>
      </c>
      <c r="C116" s="180" t="str">
        <f>Picks!B116</f>
        <v/>
      </c>
      <c r="D116" s="181" t="str">
        <f>Picks!C116</f>
        <v/>
      </c>
      <c r="E116" s="181" t="str">
        <f>Picks!D116</f>
        <v/>
      </c>
      <c r="F116" s="180" t="str">
        <f>IF(C116="","",INDEX(Odds!K:K,MATCH(C116,Odds!G:G,0)))</f>
        <v/>
      </c>
      <c r="G116" s="180" t="str">
        <f>IF(C116="","",Picks!M116)</f>
        <v/>
      </c>
      <c r="H116" s="181" t="str">
        <f t="shared" si="46"/>
        <v/>
      </c>
      <c r="I116" s="191" t="str">
        <f t="shared" si="48"/>
        <v/>
      </c>
      <c r="X116" s="181" t="e">
        <f t="shared" si="47"/>
        <v>#VALUE!</v>
      </c>
    </row>
    <row r="117" spans="2:24">
      <c r="B117" s="180"/>
      <c r="C117" s="180" t="str">
        <f>Picks!B117</f>
        <v/>
      </c>
      <c r="D117" s="181" t="str">
        <f>Picks!C117</f>
        <v/>
      </c>
      <c r="E117" s="181" t="str">
        <f>Picks!D117</f>
        <v/>
      </c>
      <c r="F117" s="180" t="str">
        <f>IF(C117="","",INDEX(Odds!K:K,MATCH(C117,Odds!G:G,0)))</f>
        <v/>
      </c>
      <c r="G117" s="180" t="str">
        <f>IF(C117="","",Picks!M117)</f>
        <v/>
      </c>
      <c r="H117" s="181" t="str">
        <f t="shared" si="46"/>
        <v/>
      </c>
      <c r="I117" s="191" t="str">
        <f t="shared" si="48"/>
        <v/>
      </c>
      <c r="X117" s="181" t="e">
        <f t="shared" si="47"/>
        <v>#VALUE!</v>
      </c>
    </row>
    <row r="118" spans="2:24" ht="13.15" thickBot="1">
      <c r="B118" s="182"/>
      <c r="C118" s="182" t="str">
        <f>Picks!B118</f>
        <v/>
      </c>
      <c r="D118" s="183" t="str">
        <f>Picks!C118</f>
        <v/>
      </c>
      <c r="E118" s="183" t="str">
        <f>Picks!D118</f>
        <v/>
      </c>
      <c r="F118" s="182" t="str">
        <f>IF(C118="","",INDEX(Odds!K:K,MATCH(C118,Odds!G:G,0)))</f>
        <v/>
      </c>
      <c r="G118" s="182" t="str">
        <f>IF(C118="","",Picks!M118)</f>
        <v/>
      </c>
      <c r="H118" s="183" t="str">
        <f t="shared" si="46"/>
        <v/>
      </c>
      <c r="I118" s="191" t="str">
        <f t="shared" si="48"/>
        <v/>
      </c>
      <c r="X118" s="181" t="e">
        <f t="shared" si="47"/>
        <v>#VALUE!</v>
      </c>
    </row>
    <row r="119" spans="2:24">
      <c r="B119" s="181" t="str">
        <f>$V41</f>
        <v>Paul Allen</v>
      </c>
      <c r="C119" s="180" t="str">
        <f>Picks!B119</f>
        <v>Blackburn</v>
      </c>
      <c r="D119" s="181">
        <f>Picks!C119</f>
        <v>6</v>
      </c>
      <c r="E119" s="181">
        <f>Picks!D119</f>
        <v>3.8</v>
      </c>
      <c r="F119" s="180">
        <f>IF(C119="","",INDEX(Odds!K:K,MATCH(C119,Odds!G:G,0)))</f>
        <v>1</v>
      </c>
      <c r="G119" s="180">
        <f>IF(C119="","",Picks!M119)</f>
        <v>0</v>
      </c>
      <c r="H119" s="181">
        <f t="shared" si="46"/>
        <v>0</v>
      </c>
      <c r="I119" s="191" t="str">
        <f t="shared" si="48"/>
        <v/>
      </c>
      <c r="X119" s="181">
        <f t="shared" si="47"/>
        <v>2.8</v>
      </c>
    </row>
    <row r="120" spans="2:24">
      <c r="B120" s="180"/>
      <c r="C120" s="180" t="str">
        <f>Picks!B120</f>
        <v>Leicester</v>
      </c>
      <c r="D120" s="181">
        <f>Picks!C120</f>
        <v>6</v>
      </c>
      <c r="E120" s="181">
        <f>Picks!D120</f>
        <v>1.8</v>
      </c>
      <c r="F120" s="180">
        <f>IF(C120="","",INDEX(Odds!K:K,MATCH(C120,Odds!G:G,0)))</f>
        <v>1</v>
      </c>
      <c r="G120" s="180">
        <f>IF(C120="","",Picks!M120)</f>
        <v>0</v>
      </c>
      <c r="H120" s="181">
        <f t="shared" si="46"/>
        <v>0</v>
      </c>
      <c r="I120" s="191" t="str">
        <f t="shared" si="48"/>
        <v/>
      </c>
      <c r="X120" s="181">
        <f t="shared" si="47"/>
        <v>0.8</v>
      </c>
    </row>
    <row r="121" spans="2:24" ht="13.15" thickBot="1">
      <c r="B121" s="182"/>
      <c r="C121" s="182" t="str">
        <f>Picks!B121</f>
        <v>Leeds</v>
      </c>
      <c r="D121" s="183">
        <f>Picks!C121</f>
        <v>6</v>
      </c>
      <c r="E121" s="183">
        <f>Picks!D121</f>
        <v>1.6153846153846154</v>
      </c>
      <c r="F121" s="182">
        <f>IF(C121="","",INDEX(Odds!K:K,MATCH(C121,Odds!G:G,0)))</f>
        <v>1</v>
      </c>
      <c r="G121" s="182">
        <f>IF(C121="","",Picks!M121)</f>
        <v>0</v>
      </c>
      <c r="H121" s="183">
        <f t="shared" si="46"/>
        <v>0</v>
      </c>
      <c r="I121" s="191" t="str">
        <f t="shared" si="48"/>
        <v/>
      </c>
      <c r="X121" s="181">
        <f t="shared" si="47"/>
        <v>0.61538461538461542</v>
      </c>
    </row>
    <row r="122" spans="2:24">
      <c r="B122" s="181" t="str">
        <f>$V42</f>
        <v>Paul Barnes</v>
      </c>
      <c r="C122" s="180" t="str">
        <f>Picks!B122</f>
        <v>Man U</v>
      </c>
      <c r="D122" s="181">
        <f>Picks!C122</f>
        <v>7</v>
      </c>
      <c r="E122" s="181">
        <f>Picks!D122</f>
        <v>2.2000000000000002</v>
      </c>
      <c r="F122" s="180">
        <f>IF(C122="","",INDEX(Odds!K:K,MATCH(C122,Odds!G:G,0)))</f>
        <v>1</v>
      </c>
      <c r="G122" s="180">
        <f>IF(C122="","",Picks!M122)</f>
        <v>0</v>
      </c>
      <c r="H122" s="181">
        <f t="shared" si="46"/>
        <v>0</v>
      </c>
      <c r="I122" s="191" t="str">
        <f t="shared" si="48"/>
        <v/>
      </c>
      <c r="X122" s="181">
        <f t="shared" si="47"/>
        <v>1.2000000000000002</v>
      </c>
    </row>
    <row r="123" spans="2:24">
      <c r="B123" s="180"/>
      <c r="C123" s="180" t="str">
        <f>Picks!B123</f>
        <v>Man C draw</v>
      </c>
      <c r="D123" s="181">
        <f>Picks!C123</f>
        <v>1</v>
      </c>
      <c r="E123" s="181">
        <f>Picks!D123</f>
        <v>4</v>
      </c>
      <c r="F123" s="180">
        <f>IF(C123="","",INDEX(Odds!K:K,MATCH(C123,Odds!G:G,0)))</f>
        <v>1</v>
      </c>
      <c r="G123" s="180">
        <f>IF(C123="","",Picks!M123)</f>
        <v>1</v>
      </c>
      <c r="H123" s="181">
        <f t="shared" si="46"/>
        <v>3</v>
      </c>
      <c r="I123" s="191" t="str">
        <f t="shared" si="48"/>
        <v/>
      </c>
      <c r="X123" s="181">
        <f t="shared" si="47"/>
        <v>3</v>
      </c>
    </row>
    <row r="124" spans="2:24" ht="13.15" thickBot="1">
      <c r="B124" s="182"/>
      <c r="C124" s="182" t="str">
        <f>Picks!B124</f>
        <v>Bournemouth</v>
      </c>
      <c r="D124" s="183">
        <f>Picks!C124</f>
        <v>7</v>
      </c>
      <c r="E124" s="183">
        <f>Picks!D124</f>
        <v>2.1</v>
      </c>
      <c r="F124" s="182">
        <f>IF(C124="","",INDEX(Odds!K:K,MATCH(C124,Odds!G:G,0)))</f>
        <v>1</v>
      </c>
      <c r="G124" s="182">
        <f>IF(C124="","",Picks!M124)</f>
        <v>1</v>
      </c>
      <c r="H124" s="183">
        <f t="shared" si="46"/>
        <v>1.1000000000000001</v>
      </c>
      <c r="I124" s="191" t="str">
        <f t="shared" si="48"/>
        <v/>
      </c>
      <c r="X124" s="181">
        <f t="shared" si="47"/>
        <v>1.1000000000000001</v>
      </c>
    </row>
    <row r="125" spans="2:24">
      <c r="B125" s="181" t="str">
        <f>$V43</f>
        <v>Paul Fairhurst</v>
      </c>
      <c r="C125" s="180" t="str">
        <f>Picks!B125</f>
        <v>Accrington draw</v>
      </c>
      <c r="D125" s="181">
        <f>Picks!C125</f>
        <v>6</v>
      </c>
      <c r="E125" s="181">
        <f>Picks!D125</f>
        <v>3.6</v>
      </c>
      <c r="F125" s="180">
        <f>IF(C125="","",INDEX(Odds!K:K,MATCH(C125,Odds!G:G,0)))</f>
        <v>1</v>
      </c>
      <c r="G125" s="180">
        <f>IF(C125="","",Picks!M125)</f>
        <v>0</v>
      </c>
      <c r="H125" s="181">
        <f t="shared" si="46"/>
        <v>0</v>
      </c>
      <c r="I125" s="191" t="str">
        <f t="shared" si="48"/>
        <v/>
      </c>
      <c r="X125" s="181">
        <f t="shared" si="47"/>
        <v>2.6</v>
      </c>
    </row>
    <row r="126" spans="2:24">
      <c r="B126" s="180"/>
      <c r="C126" s="180" t="str">
        <f>Picks!B126</f>
        <v>Burnley</v>
      </c>
      <c r="D126" s="181">
        <f>Picks!C126</f>
        <v>7</v>
      </c>
      <c r="E126" s="181">
        <f>Picks!D126</f>
        <v>9</v>
      </c>
      <c r="F126" s="180">
        <f>IF(C126="","",INDEX(Odds!K:K,MATCH(C126,Odds!G:G,0)))</f>
        <v>1</v>
      </c>
      <c r="G126" s="180">
        <f>IF(C126="","",Picks!M126)</f>
        <v>0</v>
      </c>
      <c r="H126" s="181">
        <f t="shared" si="46"/>
        <v>0</v>
      </c>
      <c r="I126" s="191" t="str">
        <f t="shared" si="48"/>
        <v/>
      </c>
      <c r="X126" s="181">
        <f t="shared" si="47"/>
        <v>8</v>
      </c>
    </row>
    <row r="127" spans="2:24" ht="13.15" thickBot="1">
      <c r="B127" s="182"/>
      <c r="C127" s="182" t="str">
        <f>Picks!B127</f>
        <v>Villa draw</v>
      </c>
      <c r="D127" s="183">
        <f>Picks!C127</f>
        <v>7</v>
      </c>
      <c r="E127" s="183">
        <f>Picks!D127</f>
        <v>4.3333333333333339</v>
      </c>
      <c r="F127" s="182">
        <f>IF(C127="","",INDEX(Odds!K:K,MATCH(C127,Odds!G:G,0)))</f>
        <v>1</v>
      </c>
      <c r="G127" s="182">
        <f>IF(C127="","",Picks!M127)</f>
        <v>0</v>
      </c>
      <c r="H127" s="183">
        <f t="shared" si="46"/>
        <v>0</v>
      </c>
      <c r="I127" s="191" t="str">
        <f t="shared" si="48"/>
        <v/>
      </c>
      <c r="X127" s="181">
        <f t="shared" si="47"/>
        <v>3.3333333333333339</v>
      </c>
    </row>
    <row r="128" spans="2:24">
      <c r="B128" s="181" t="str">
        <f>$V44</f>
        <v>Pete Baron</v>
      </c>
      <c r="C128" s="180" t="str">
        <f>Picks!B128</f>
        <v>Villa draw</v>
      </c>
      <c r="D128" s="181">
        <f>Picks!C128</f>
        <v>7</v>
      </c>
      <c r="E128" s="181">
        <f>Picks!D128</f>
        <v>4.3333333333333339</v>
      </c>
      <c r="F128" s="180">
        <f>IF(C128="","",INDEX(Odds!K:K,MATCH(C128,Odds!G:G,0)))</f>
        <v>1</v>
      </c>
      <c r="G128" s="180">
        <f>IF(C128="","",Picks!M128)</f>
        <v>0</v>
      </c>
      <c r="H128" s="181">
        <f t="shared" si="46"/>
        <v>0</v>
      </c>
      <c r="I128" s="191" t="str">
        <f t="shared" si="48"/>
        <v/>
      </c>
      <c r="X128" s="181">
        <f t="shared" si="47"/>
        <v>3.3333333333333339</v>
      </c>
    </row>
    <row r="129" spans="2:24">
      <c r="B129" s="180"/>
      <c r="C129" s="180" t="str">
        <f>Picks!B129</f>
        <v>Man C draw</v>
      </c>
      <c r="D129" s="181">
        <f>Picks!C129</f>
        <v>1</v>
      </c>
      <c r="E129" s="181">
        <f>Picks!D129</f>
        <v>4</v>
      </c>
      <c r="F129" s="180">
        <f>IF(C129="","",INDEX(Odds!K:K,MATCH(C129,Odds!G:G,0)))</f>
        <v>1</v>
      </c>
      <c r="G129" s="180">
        <f>IF(C129="","",Picks!M129)</f>
        <v>1</v>
      </c>
      <c r="H129" s="181">
        <f t="shared" si="46"/>
        <v>3</v>
      </c>
      <c r="I129" s="191" t="str">
        <f t="shared" si="48"/>
        <v/>
      </c>
      <c r="X129" s="181">
        <f t="shared" si="47"/>
        <v>3</v>
      </c>
    </row>
    <row r="130" spans="2:24" ht="13.15" thickBot="1">
      <c r="B130" s="182"/>
      <c r="C130" s="182" t="str">
        <f>Picks!B130</f>
        <v>Forest draw</v>
      </c>
      <c r="D130" s="183">
        <f>Picks!C130</f>
        <v>7</v>
      </c>
      <c r="E130" s="183">
        <f>Picks!D130</f>
        <v>3.4</v>
      </c>
      <c r="F130" s="182">
        <f>IF(C130="","",INDEX(Odds!K:K,MATCH(C130,Odds!G:G,0)))</f>
        <v>1</v>
      </c>
      <c r="G130" s="182">
        <f>IF(C130="","",Picks!M130)</f>
        <v>1</v>
      </c>
      <c r="H130" s="183">
        <f t="shared" ref="H130:H151" si="49">IF(C130="","",+((E130-1)*G130*F130*A$2))</f>
        <v>2.4</v>
      </c>
      <c r="I130" s="191" t="str">
        <f t="shared" si="48"/>
        <v/>
      </c>
      <c r="X130" s="181">
        <f t="shared" ref="X130:X151" si="50">+((E130-1)*F130*A$2)</f>
        <v>2.4</v>
      </c>
    </row>
    <row r="131" spans="2:24">
      <c r="B131" s="181" t="str">
        <f>$V45</f>
        <v>Phil Miller</v>
      </c>
      <c r="C131" s="180" t="str">
        <f>Picks!B131</f>
        <v>Norwich</v>
      </c>
      <c r="D131" s="181">
        <f>Picks!C131</f>
        <v>6</v>
      </c>
      <c r="E131" s="181">
        <f>Picks!D131</f>
        <v>1.5</v>
      </c>
      <c r="F131" s="180">
        <f>IF(C131="","",INDEX(Odds!K:K,MATCH(C131,Odds!G:G,0)))</f>
        <v>1</v>
      </c>
      <c r="G131" s="180">
        <f>IF(C131="","",Picks!M131)</f>
        <v>1</v>
      </c>
      <c r="H131" s="181">
        <f t="shared" si="49"/>
        <v>0.5</v>
      </c>
      <c r="I131" s="191" t="str">
        <f t="shared" si="48"/>
        <v/>
      </c>
      <c r="X131" s="181">
        <f t="shared" si="50"/>
        <v>0.5</v>
      </c>
    </row>
    <row r="132" spans="2:24">
      <c r="B132" s="180"/>
      <c r="C132" s="180" t="str">
        <f>Picks!B132</f>
        <v>Preston</v>
      </c>
      <c r="D132" s="181">
        <f>Picks!C132</f>
        <v>6</v>
      </c>
      <c r="E132" s="181">
        <f>Picks!D132</f>
        <v>1.5333333333333332</v>
      </c>
      <c r="F132" s="180">
        <f>IF(C132="","",INDEX(Odds!K:K,MATCH(C132,Odds!G:G,0)))</f>
        <v>1</v>
      </c>
      <c r="G132" s="180">
        <f>IF(C132="","",Picks!M132)</f>
        <v>1</v>
      </c>
      <c r="H132" s="181">
        <f t="shared" si="49"/>
        <v>0.53333333333333321</v>
      </c>
      <c r="I132" s="191" t="str">
        <f t="shared" si="48"/>
        <v/>
      </c>
      <c r="X132" s="181">
        <f t="shared" si="50"/>
        <v>0.53333333333333321</v>
      </c>
    </row>
    <row r="133" spans="2:24" ht="13.15" thickBot="1">
      <c r="B133" s="182"/>
      <c r="C133" s="182" t="str">
        <f>Picks!B133</f>
        <v>Peterborough</v>
      </c>
      <c r="D133" s="183">
        <f>Picks!C133</f>
        <v>6</v>
      </c>
      <c r="E133" s="183">
        <f>Picks!D133</f>
        <v>1.2857142857142856</v>
      </c>
      <c r="F133" s="182">
        <f>IF(C133="","",INDEX(Odds!K:K,MATCH(C133,Odds!G:G,0)))</f>
        <v>1</v>
      </c>
      <c r="G133" s="182">
        <f>IF(C133="","",Picks!M133)</f>
        <v>0</v>
      </c>
      <c r="H133" s="183">
        <f t="shared" si="49"/>
        <v>0</v>
      </c>
      <c r="I133" s="191" t="str">
        <f t="shared" si="48"/>
        <v/>
      </c>
      <c r="X133" s="181">
        <f t="shared" si="50"/>
        <v>0.28571428571428559</v>
      </c>
    </row>
    <row r="134" spans="2:24">
      <c r="B134" s="181" t="str">
        <f>$V46</f>
        <v>Rob England</v>
      </c>
      <c r="C134" s="180" t="str">
        <f>Picks!B134</f>
        <v>Reading</v>
      </c>
      <c r="D134" s="181">
        <f>Picks!C134</f>
        <v>6</v>
      </c>
      <c r="E134" s="181">
        <f>Picks!D134</f>
        <v>1.7</v>
      </c>
      <c r="F134" s="180">
        <f>IF(C134="","",INDEX(Odds!K:K,MATCH(C134,Odds!G:G,0)))</f>
        <v>1</v>
      </c>
      <c r="G134" s="180">
        <f>IF(C134="","",Picks!M134)</f>
        <v>1</v>
      </c>
      <c r="H134" s="181">
        <f t="shared" si="49"/>
        <v>0.7</v>
      </c>
      <c r="I134" s="191" t="str">
        <f t="shared" si="48"/>
        <v/>
      </c>
      <c r="X134" s="181">
        <f t="shared" si="50"/>
        <v>0.7</v>
      </c>
    </row>
    <row r="135" spans="2:24">
      <c r="B135" s="180"/>
      <c r="C135" s="180" t="str">
        <f>Picks!B135</f>
        <v>Barnsley</v>
      </c>
      <c r="D135" s="181">
        <f>Picks!C135</f>
        <v>6</v>
      </c>
      <c r="E135" s="181">
        <f>Picks!D135</f>
        <v>1.5333333333333332</v>
      </c>
      <c r="F135" s="180">
        <f>IF(C135="","",INDEX(Odds!K:K,MATCH(C135,Odds!G:G,0)))</f>
        <v>1</v>
      </c>
      <c r="G135" s="180">
        <f>IF(C135="","",Picks!M135)</f>
        <v>0</v>
      </c>
      <c r="H135" s="181">
        <f t="shared" si="49"/>
        <v>0</v>
      </c>
      <c r="I135" s="191" t="str">
        <f t="shared" si="48"/>
        <v/>
      </c>
      <c r="X135" s="181">
        <f t="shared" si="50"/>
        <v>0.53333333333333321</v>
      </c>
    </row>
    <row r="136" spans="2:24" ht="13.15" thickBot="1">
      <c r="B136" s="182"/>
      <c r="C136" s="182" t="str">
        <f>Picks!B136</f>
        <v>Villa</v>
      </c>
      <c r="D136" s="183">
        <f>Picks!C136</f>
        <v>7</v>
      </c>
      <c r="E136" s="183">
        <f>Picks!D136</f>
        <v>1.65</v>
      </c>
      <c r="F136" s="182">
        <f>IF(C136="","",INDEX(Odds!K:K,MATCH(C136,Odds!G:G,0)))</f>
        <v>1</v>
      </c>
      <c r="G136" s="182">
        <f>IF(C136="","",Picks!M136)</f>
        <v>1</v>
      </c>
      <c r="H136" s="183">
        <f t="shared" si="49"/>
        <v>0.64999999999999991</v>
      </c>
      <c r="I136" s="191" t="str">
        <f t="shared" si="48"/>
        <v/>
      </c>
      <c r="X136" s="181">
        <f t="shared" si="50"/>
        <v>0.64999999999999991</v>
      </c>
    </row>
    <row r="137" spans="2:24">
      <c r="B137" s="181" t="str">
        <f>$V47</f>
        <v>Simon Greenhalgh</v>
      </c>
      <c r="C137" s="180" t="str">
        <f>Picks!B137</f>
        <v>Forest draw</v>
      </c>
      <c r="D137" s="181">
        <f>Picks!C137</f>
        <v>7</v>
      </c>
      <c r="E137" s="181">
        <f>Picks!D137</f>
        <v>3.4</v>
      </c>
      <c r="F137" s="180">
        <f>IF(C137="","",INDEX(Odds!K:K,MATCH(C137,Odds!G:G,0)))</f>
        <v>1</v>
      </c>
      <c r="G137" s="180">
        <f>IF(C137="","",Picks!M137)</f>
        <v>1</v>
      </c>
      <c r="H137" s="181">
        <f t="shared" si="49"/>
        <v>2.4</v>
      </c>
      <c r="I137" s="191" t="str">
        <f t="shared" si="48"/>
        <v/>
      </c>
      <c r="X137" s="181">
        <f t="shared" si="50"/>
        <v>2.4</v>
      </c>
    </row>
    <row r="138" spans="2:24">
      <c r="B138" s="180"/>
      <c r="C138" s="180" t="str">
        <f>Picks!B138</f>
        <v>Newcastle draw</v>
      </c>
      <c r="D138" s="181">
        <f>Picks!C138</f>
        <v>7</v>
      </c>
      <c r="E138" s="181">
        <f>Picks!D138</f>
        <v>4</v>
      </c>
      <c r="F138" s="180">
        <f>IF(C138="","",INDEX(Odds!K:K,MATCH(C138,Odds!G:G,0)))</f>
        <v>1</v>
      </c>
      <c r="G138" s="180">
        <f>IF(C138="","",Picks!M138)</f>
        <v>0</v>
      </c>
      <c r="H138" s="181">
        <f t="shared" si="49"/>
        <v>0</v>
      </c>
      <c r="I138" s="191" t="str">
        <f t="shared" si="48"/>
        <v/>
      </c>
      <c r="X138" s="181">
        <f t="shared" si="50"/>
        <v>3</v>
      </c>
    </row>
    <row r="139" spans="2:24" ht="13.15" thickBot="1">
      <c r="B139" s="182"/>
      <c r="C139" s="182" t="str">
        <f>Picks!B139</f>
        <v>Villa draw</v>
      </c>
      <c r="D139" s="183">
        <f>Picks!C139</f>
        <v>7</v>
      </c>
      <c r="E139" s="183">
        <f>Picks!D139</f>
        <v>4.3333333333333339</v>
      </c>
      <c r="F139" s="182">
        <f>IF(C139="","",INDEX(Odds!K:K,MATCH(C139,Odds!G:G,0)))</f>
        <v>1</v>
      </c>
      <c r="G139" s="182">
        <f>IF(C139="","",Picks!M139)</f>
        <v>0</v>
      </c>
      <c r="H139" s="183">
        <f t="shared" si="49"/>
        <v>0</v>
      </c>
      <c r="I139" s="191" t="str">
        <f t="shared" si="48"/>
        <v/>
      </c>
      <c r="X139" s="181">
        <f t="shared" si="50"/>
        <v>3.3333333333333339</v>
      </c>
    </row>
    <row r="140" spans="2:24">
      <c r="B140" s="181" t="str">
        <f>$V48</f>
        <v>Stephen Barr</v>
      </c>
      <c r="C140" s="180" t="str">
        <f>Picks!B140</f>
        <v>Newcastle</v>
      </c>
      <c r="D140" s="181">
        <f>Picks!C140</f>
        <v>7</v>
      </c>
      <c r="E140" s="181">
        <f>Picks!D140</f>
        <v>1.85</v>
      </c>
      <c r="F140" s="180">
        <f>IF(C140="","",INDEX(Odds!K:K,MATCH(C140,Odds!G:G,0)))</f>
        <v>1</v>
      </c>
      <c r="G140" s="180">
        <f>IF(C140="","",Picks!M140)</f>
        <v>1</v>
      </c>
      <c r="H140" s="181">
        <f t="shared" si="49"/>
        <v>0.85000000000000009</v>
      </c>
      <c r="I140" s="191" t="str">
        <f t="shared" si="48"/>
        <v/>
      </c>
      <c r="X140" s="181">
        <f t="shared" si="50"/>
        <v>0.85000000000000009</v>
      </c>
    </row>
    <row r="141" spans="2:24">
      <c r="B141" s="180"/>
      <c r="C141" s="180" t="str">
        <f>Picks!B141</f>
        <v>Bournemouth draw</v>
      </c>
      <c r="D141" s="181">
        <f>Picks!C141</f>
        <v>7</v>
      </c>
      <c r="E141" s="181">
        <f>Picks!D141</f>
        <v>3.7</v>
      </c>
      <c r="F141" s="180">
        <f>IF(C141="","",INDEX(Odds!K:K,MATCH(C141,Odds!G:G,0)))</f>
        <v>1</v>
      </c>
      <c r="G141" s="180">
        <f>IF(C141="","",Picks!M141)</f>
        <v>0</v>
      </c>
      <c r="H141" s="181">
        <f t="shared" si="49"/>
        <v>0</v>
      </c>
      <c r="I141" s="191" t="str">
        <f t="shared" si="48"/>
        <v/>
      </c>
      <c r="X141" s="181">
        <f t="shared" si="50"/>
        <v>2.7</v>
      </c>
    </row>
    <row r="142" spans="2:24" ht="13.15" thickBot="1">
      <c r="B142" s="182"/>
      <c r="C142" s="182" t="str">
        <f>Picks!B142</f>
        <v>Coventry</v>
      </c>
      <c r="D142" s="183">
        <f>Picks!C142</f>
        <v>6</v>
      </c>
      <c r="E142" s="183">
        <f>Picks!D142</f>
        <v>2.375</v>
      </c>
      <c r="F142" s="182">
        <f>IF(C142="","",INDEX(Odds!K:K,MATCH(C142,Odds!G:G,0)))</f>
        <v>1</v>
      </c>
      <c r="G142" s="182">
        <f>IF(C142="","",Picks!M142)</f>
        <v>1</v>
      </c>
      <c r="H142" s="183">
        <f t="shared" si="49"/>
        <v>1.375</v>
      </c>
      <c r="I142" s="191" t="str">
        <f t="shared" si="48"/>
        <v/>
      </c>
      <c r="X142" s="181">
        <f t="shared" si="50"/>
        <v>1.375</v>
      </c>
    </row>
    <row r="143" spans="2:24">
      <c r="B143" s="181" t="str">
        <f>$V49</f>
        <v>Steve Carter</v>
      </c>
      <c r="C143" s="180" t="str">
        <f>Picks!B143</f>
        <v>Ipswich</v>
      </c>
      <c r="D143" s="181">
        <f>Picks!C143</f>
        <v>6</v>
      </c>
      <c r="E143" s="181">
        <f>Picks!D143</f>
        <v>1.85</v>
      </c>
      <c r="F143" s="180">
        <f>IF(C143="","",INDEX(Odds!K:K,MATCH(C143,Odds!G:G,0)))</f>
        <v>1</v>
      </c>
      <c r="G143" s="180">
        <f>IF(C143="","",Picks!M143)</f>
        <v>1</v>
      </c>
      <c r="H143" s="181">
        <f t="shared" si="49"/>
        <v>0.85000000000000009</v>
      </c>
      <c r="I143" s="191" t="str">
        <f t="shared" si="48"/>
        <v/>
      </c>
      <c r="X143" s="181">
        <f t="shared" si="50"/>
        <v>0.85000000000000009</v>
      </c>
    </row>
    <row r="144" spans="2:24">
      <c r="B144" s="180"/>
      <c r="C144" s="180" t="str">
        <f>Picks!B144</f>
        <v>Bournemouth</v>
      </c>
      <c r="D144" s="181">
        <f>Picks!C144</f>
        <v>7</v>
      </c>
      <c r="E144" s="181">
        <f>Picks!D144</f>
        <v>2.1</v>
      </c>
      <c r="F144" s="180">
        <f>IF(C144="","",INDEX(Odds!K:K,MATCH(C144,Odds!G:G,0)))</f>
        <v>1</v>
      </c>
      <c r="G144" s="180">
        <f>IF(C144="","",Picks!M144)</f>
        <v>1</v>
      </c>
      <c r="H144" s="181">
        <f t="shared" si="49"/>
        <v>1.1000000000000001</v>
      </c>
      <c r="I144" s="191" t="str">
        <f t="shared" si="48"/>
        <v/>
      </c>
      <c r="X144" s="181">
        <f t="shared" si="50"/>
        <v>1.1000000000000001</v>
      </c>
    </row>
    <row r="145" spans="2:25" ht="13.15" thickBot="1">
      <c r="B145" s="182"/>
      <c r="C145" s="182" t="str">
        <f>Picks!B145</f>
        <v>Fulham</v>
      </c>
      <c r="D145" s="183">
        <f>Picks!C145</f>
        <v>7</v>
      </c>
      <c r="E145" s="183">
        <f>Picks!D145</f>
        <v>1.7</v>
      </c>
      <c r="F145" s="182">
        <f>IF(C145="","",INDEX(Odds!K:K,MATCH(C145,Odds!G:G,0)))</f>
        <v>1</v>
      </c>
      <c r="G145" s="182">
        <f>IF(C145="","",Picks!M145)</f>
        <v>0</v>
      </c>
      <c r="H145" s="183">
        <f t="shared" si="49"/>
        <v>0</v>
      </c>
      <c r="I145" s="191" t="str">
        <f t="shared" si="48"/>
        <v/>
      </c>
      <c r="X145" s="181">
        <f t="shared" si="50"/>
        <v>0.7</v>
      </c>
    </row>
    <row r="146" spans="2:25">
      <c r="B146" s="181" t="str">
        <f>$V50</f>
        <v>Tom Robinson</v>
      </c>
      <c r="C146" s="180" t="str">
        <f>Picks!B146</f>
        <v>QPR</v>
      </c>
      <c r="D146" s="181">
        <f>Picks!C146</f>
        <v>6</v>
      </c>
      <c r="E146" s="181">
        <f>Picks!D146</f>
        <v>2</v>
      </c>
      <c r="F146" s="180">
        <f>IF(C146="","",INDEX(Odds!K:K,MATCH(C146,Odds!G:G,0)))</f>
        <v>1</v>
      </c>
      <c r="G146" s="180">
        <f>IF(C146="","",Picks!M146)</f>
        <v>1</v>
      </c>
      <c r="H146" s="181">
        <f t="shared" si="49"/>
        <v>1</v>
      </c>
      <c r="I146" s="191" t="str">
        <f t="shared" si="48"/>
        <v/>
      </c>
      <c r="X146" s="181">
        <f t="shared" si="50"/>
        <v>1</v>
      </c>
    </row>
    <row r="147" spans="2:25">
      <c r="B147" s="180"/>
      <c r="C147" s="180" t="str">
        <f>Picks!B147</f>
        <v>Wigan</v>
      </c>
      <c r="D147" s="181">
        <f>Picks!C147</f>
        <v>6</v>
      </c>
      <c r="E147" s="181">
        <f>Picks!D147</f>
        <v>1.95</v>
      </c>
      <c r="F147" s="180">
        <f>IF(C147="","",INDEX(Odds!K:K,MATCH(C147,Odds!G:G,0)))</f>
        <v>1</v>
      </c>
      <c r="G147" s="180">
        <f>IF(C147="","",Picks!M147)</f>
        <v>0</v>
      </c>
      <c r="H147" s="181">
        <f t="shared" si="49"/>
        <v>0</v>
      </c>
      <c r="I147" s="191" t="str">
        <f t="shared" si="48"/>
        <v/>
      </c>
      <c r="X147" s="181">
        <f t="shared" si="50"/>
        <v>0.95</v>
      </c>
    </row>
    <row r="148" spans="2:25" ht="13.15" thickBot="1">
      <c r="B148" s="182"/>
      <c r="C148" s="182" t="str">
        <f>Picks!B148</f>
        <v>Bradford draw</v>
      </c>
      <c r="D148" s="183">
        <f>Picks!C148</f>
        <v>6</v>
      </c>
      <c r="E148" s="183">
        <f>Picks!D148</f>
        <v>3.5</v>
      </c>
      <c r="F148" s="182">
        <f>IF(C148="","",INDEX(Odds!K:K,MATCH(C148,Odds!G:G,0)))</f>
        <v>1</v>
      </c>
      <c r="G148" s="182">
        <f>IF(C148="","",Picks!M148)</f>
        <v>0</v>
      </c>
      <c r="H148" s="183">
        <f t="shared" si="49"/>
        <v>0</v>
      </c>
      <c r="I148" s="191" t="str">
        <f t="shared" si="48"/>
        <v/>
      </c>
      <c r="X148" s="181">
        <f t="shared" si="50"/>
        <v>2.5</v>
      </c>
    </row>
    <row r="149" spans="2:25">
      <c r="B149" s="181" t="str">
        <f>$V51</f>
        <v>Vinny Topping</v>
      </c>
      <c r="C149" s="180" t="str">
        <f>Picks!B149</f>
        <v>Hull</v>
      </c>
      <c r="D149" s="181">
        <f>Picks!C149</f>
        <v>6</v>
      </c>
      <c r="E149" s="181">
        <f>Picks!D149</f>
        <v>1.9090909090909092</v>
      </c>
      <c r="F149" s="180">
        <f>IF(C149="","",INDEX(Odds!K:K,MATCH(C149,Odds!G:G,0)))</f>
        <v>1</v>
      </c>
      <c r="G149" s="180">
        <f>IF(C149="","",Picks!M149)</f>
        <v>0</v>
      </c>
      <c r="H149" s="181">
        <f t="shared" si="49"/>
        <v>0</v>
      </c>
      <c r="I149" s="191"/>
      <c r="X149" s="181">
        <f t="shared" si="50"/>
        <v>0.90909090909090917</v>
      </c>
    </row>
    <row r="150" spans="2:25">
      <c r="B150" s="180"/>
      <c r="C150" s="180" t="str">
        <f>Picks!B150</f>
        <v>Derby</v>
      </c>
      <c r="D150" s="181">
        <f>Picks!C150</f>
        <v>6</v>
      </c>
      <c r="E150" s="181">
        <f>Picks!D150</f>
        <v>1.85</v>
      </c>
      <c r="F150" s="180">
        <f>IF(C150="","",INDEX(Odds!K:K,MATCH(C150,Odds!G:G,0)))</f>
        <v>1</v>
      </c>
      <c r="G150" s="180">
        <f>IF(C150="","",Picks!M150)</f>
        <v>1</v>
      </c>
      <c r="H150" s="181">
        <f t="shared" si="49"/>
        <v>0.85000000000000009</v>
      </c>
      <c r="I150" s="191"/>
      <c r="X150" s="181">
        <f t="shared" si="50"/>
        <v>0.85000000000000009</v>
      </c>
      <c r="Y150" s="10" t="s">
        <v>182</v>
      </c>
    </row>
    <row r="151" spans="2:25" ht="13.15" thickBot="1">
      <c r="B151" s="182"/>
      <c r="C151" s="182" t="str">
        <f>Picks!B151</f>
        <v>Wigan</v>
      </c>
      <c r="D151" s="183">
        <f>Picks!C151</f>
        <v>6</v>
      </c>
      <c r="E151" s="183">
        <f>Picks!D151</f>
        <v>1.95</v>
      </c>
      <c r="F151" s="182">
        <f>IF(C151="","",INDEX(Odds!K:K,MATCH(C151,Odds!G:G,0)))</f>
        <v>1</v>
      </c>
      <c r="G151" s="182">
        <f>IF(C151="","",Picks!M151)</f>
        <v>0</v>
      </c>
      <c r="H151" s="183">
        <f t="shared" si="49"/>
        <v>0</v>
      </c>
      <c r="I151" s="191"/>
      <c r="X151" s="181">
        <f t="shared" si="50"/>
        <v>0.95</v>
      </c>
    </row>
    <row r="152" spans="2:25">
      <c r="I152" s="191" t="str">
        <f t="shared" ref="I152:I153" si="51">IF(V149="","",V149)</f>
        <v/>
      </c>
    </row>
    <row r="153" spans="2:25">
      <c r="I153" s="191" t="str">
        <f t="shared" si="51"/>
        <v/>
      </c>
    </row>
  </sheetData>
  <autoFilter ref="A1:AI244" xr:uid="{00000000-0009-0000-0000-00000C000000}"/>
  <sortState xmlns:xlrd2="http://schemas.microsoft.com/office/spreadsheetml/2017/richdata2" ref="V2:V51">
    <sortCondition ref="V2:V51"/>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51"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rgb="FFFFFF00"/>
  </sheetPr>
  <dimension ref="A1:B9"/>
  <sheetViews>
    <sheetView workbookViewId="0">
      <selection activeCell="A6" sqref="A6"/>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62" t="s">
        <v>342</v>
      </c>
    </row>
    <row r="3" spans="1:2">
      <c r="A3" s="329" t="s">
        <v>145</v>
      </c>
      <c r="B3" s="330"/>
    </row>
    <row r="4" spans="1:2">
      <c r="A4" s="329" t="s">
        <v>127</v>
      </c>
      <c r="B4" s="330" t="s">
        <v>143</v>
      </c>
    </row>
    <row r="5" spans="1:2">
      <c r="A5" s="454">
        <v>3</v>
      </c>
      <c r="B5" s="734">
        <v>3</v>
      </c>
    </row>
    <row r="6" spans="1:2">
      <c r="A6" s="455">
        <v>2</v>
      </c>
      <c r="B6" s="735">
        <v>14</v>
      </c>
    </row>
    <row r="7" spans="1:2">
      <c r="A7" s="455">
        <v>1</v>
      </c>
      <c r="B7" s="735">
        <v>17</v>
      </c>
    </row>
    <row r="8" spans="1:2">
      <c r="A8" s="455">
        <v>0</v>
      </c>
      <c r="B8" s="735">
        <v>16</v>
      </c>
    </row>
    <row r="9" spans="1:2">
      <c r="A9" s="456" t="s">
        <v>144</v>
      </c>
      <c r="B9" s="736">
        <v>50</v>
      </c>
    </row>
  </sheetData>
  <hyperlinks>
    <hyperlink ref="A1" location="Menu!A1" display="Menu!A1" xr:uid="{00000000-0004-0000-0D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FF00"/>
    <pageSetUpPr fitToPage="1"/>
  </sheetPr>
  <dimension ref="A1:BF171"/>
  <sheetViews>
    <sheetView zoomScaleNormal="100" workbookViewId="0">
      <pane xSplit="7" ySplit="1" topLeftCell="H2" activePane="bottomRight" state="frozen"/>
      <selection pane="topRight" activeCell="H1" sqref="H1"/>
      <selection pane="bottomLeft" activeCell="A2" sqref="A2"/>
      <selection pane="bottomRight" activeCell="A13" sqref="A13"/>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14" customFormat="1" ht="30" customHeight="1">
      <c r="A1" s="608" t="s">
        <v>419</v>
      </c>
      <c r="B1" s="608">
        <v>50</v>
      </c>
      <c r="C1" s="609"/>
      <c r="D1" s="609"/>
      <c r="E1" s="139"/>
      <c r="F1" s="610" t="s">
        <v>130</v>
      </c>
      <c r="G1" s="368" t="s">
        <v>131</v>
      </c>
      <c r="H1" s="611"/>
      <c r="I1" s="616" t="str">
        <f>IF($B$14="","",$B$14)</f>
        <v/>
      </c>
      <c r="J1" s="612" t="str">
        <f>IF($A$14="","",$A$14)</f>
        <v>Preliminary Round</v>
      </c>
      <c r="K1" s="227" t="str">
        <f>IF(B14="","",CONCATENATE("PL R",B14))</f>
        <v/>
      </c>
      <c r="L1" s="611"/>
      <c r="M1" s="613" t="s">
        <v>28</v>
      </c>
      <c r="N1" s="611"/>
      <c r="O1" s="651">
        <f>IF($C$15="","",$C$15)</f>
        <v>45304</v>
      </c>
      <c r="P1" s="652" t="str">
        <f>IF($A$15="","",$A$15)</f>
        <v>Round 1</v>
      </c>
      <c r="Q1" s="657" t="str">
        <f>IF(B15="","",CONCATENATE("PL R",B15))</f>
        <v>PL R2</v>
      </c>
      <c r="R1" s="611"/>
      <c r="S1" s="614" t="s">
        <v>28</v>
      </c>
      <c r="T1" s="611"/>
      <c r="U1" s="618">
        <f>IF($C$16="","",$C$16)</f>
        <v>45339</v>
      </c>
      <c r="V1" s="653" t="str">
        <f>IF($A$16="","",$A$16)</f>
        <v>Round 2</v>
      </c>
      <c r="W1" s="227" t="str">
        <f>IF(B16="","",CONCATENATE("PL R",B16))</f>
        <v>PL R8</v>
      </c>
      <c r="X1" s="611"/>
      <c r="Y1" s="614" t="s">
        <v>28</v>
      </c>
      <c r="Z1" s="611"/>
      <c r="AA1" s="618">
        <f>IF($C$17="","",$C$17)</f>
        <v>45360</v>
      </c>
      <c r="AB1" s="653" t="str">
        <f>IF($A$17="","",$A$17)</f>
        <v>Round 3</v>
      </c>
      <c r="AC1" s="227" t="str">
        <f>IF(B17="","",CONCATENATE("PL R",B17))</f>
        <v>PL R11</v>
      </c>
      <c r="AD1" s="611"/>
      <c r="AE1" s="614" t="s">
        <v>28</v>
      </c>
      <c r="AF1" s="139"/>
      <c r="AG1" s="618">
        <f>IF($C$18="","",$C$18)</f>
        <v>45374</v>
      </c>
      <c r="AH1" s="653" t="str">
        <f>IF($A$18="","",$A$18)</f>
        <v>Quarter Final</v>
      </c>
      <c r="AI1" s="227" t="str">
        <f>IF(B18="","",CONCATENATE("PL R",B18))</f>
        <v>PL R14</v>
      </c>
      <c r="AJ1" s="611"/>
      <c r="AK1" s="615"/>
      <c r="AL1" s="139"/>
      <c r="AM1" s="651">
        <f>IF($C$19="","",$C$19)</f>
        <v>45388</v>
      </c>
      <c r="AN1" s="652" t="str">
        <f>IF($A$19="","",$A$19)</f>
        <v>Semi-Final</v>
      </c>
      <c r="AO1" s="227" t="str">
        <f>IF(B19="","",CONCATENATE("PL R",B19))</f>
        <v>PL R16</v>
      </c>
      <c r="AP1" s="611"/>
      <c r="AQ1" s="615"/>
      <c r="AR1" s="139"/>
      <c r="AS1" s="618">
        <f>IF($C$20="","",$C$20)</f>
        <v>45402</v>
      </c>
      <c r="AT1" s="653" t="str">
        <f>IF($A$20="","",$A$20)</f>
        <v>Final</v>
      </c>
      <c r="AU1" s="227" t="str">
        <f>IF(B20="","",CONCATENATE("PL R",B20))</f>
        <v>PL R19</v>
      </c>
      <c r="AV1" s="611"/>
      <c r="AW1" s="615"/>
      <c r="AX1" s="139"/>
      <c r="AY1" s="139"/>
      <c r="AZ1" s="139"/>
      <c r="BA1" s="139"/>
      <c r="BB1" s="139"/>
      <c r="BC1" s="139"/>
      <c r="BD1" s="139"/>
      <c r="BE1" s="139"/>
      <c r="BF1" s="139"/>
    </row>
    <row r="2" spans="1:58">
      <c r="A2" s="57" t="s">
        <v>376</v>
      </c>
      <c r="B2" s="57">
        <v>6</v>
      </c>
      <c r="C2" s="77"/>
      <c r="D2" s="77"/>
      <c r="E2" s="76"/>
      <c r="F2" s="65">
        <v>1</v>
      </c>
      <c r="G2" s="66" t="s">
        <v>307</v>
      </c>
      <c r="H2" s="58"/>
      <c r="I2" s="84">
        <v>1</v>
      </c>
      <c r="J2" s="71" t="s">
        <v>307</v>
      </c>
      <c r="K2" s="72"/>
      <c r="L2" s="73" t="str">
        <f>IF(K2="","",IF(K2=K3,"R",""))</f>
        <v/>
      </c>
      <c r="M2" s="75">
        <f>INDEX(Results!T:T,MATCH(J2,Results!V:V,0))</f>
        <v>-1.666666666666667</v>
      </c>
      <c r="N2" s="58"/>
      <c r="O2" s="730">
        <v>1</v>
      </c>
      <c r="P2" s="649" t="s">
        <v>307</v>
      </c>
      <c r="Q2" s="650">
        <v>-1.3</v>
      </c>
      <c r="R2" s="81" t="str">
        <f>IF(Q2="","",IF(Q2=Q3,"R",""))</f>
        <v/>
      </c>
      <c r="S2" s="78">
        <f>INDEX(Results!T:T,MATCH(P2,Results!V:V,0))</f>
        <v>-1.666666666666667</v>
      </c>
      <c r="T2" s="58"/>
      <c r="U2" s="60">
        <v>1</v>
      </c>
      <c r="V2" s="68" t="str">
        <f>IF(Q2=Q3,"Await earlier tie",IF(Q2&lt;Q3,P3,P2))</f>
        <v>Rob England</v>
      </c>
      <c r="W2" s="72">
        <v>7.8125</v>
      </c>
      <c r="X2" s="81" t="str">
        <f>IF(W2="","",IF(W2=W3,"R",""))</f>
        <v/>
      </c>
      <c r="Y2" s="78">
        <f>INDEX(Results!T:T,MATCH(V2,Results!V:V,0))</f>
        <v>-0.84500000000000064</v>
      </c>
      <c r="Z2" s="58"/>
      <c r="AA2" s="60">
        <v>1</v>
      </c>
      <c r="AB2" s="68" t="str">
        <f>IF(W2=W3,"Await earlier tie",IF(W2&lt;W3,V3,V2))</f>
        <v>Rob England</v>
      </c>
      <c r="AC2" s="91">
        <v>11.151999999999997</v>
      </c>
      <c r="AD2" s="73" t="str">
        <f>IF(AC2="","",IF(AC2=AC3,"R",""))</f>
        <v/>
      </c>
      <c r="AE2" s="78">
        <f>INDEX(Results!T:T,MATCH(AB2,Results!V:V,0))</f>
        <v>-0.84500000000000064</v>
      </c>
      <c r="AF2" s="76"/>
      <c r="AG2" s="60">
        <v>1</v>
      </c>
      <c r="AH2" s="68" t="str">
        <f>IF(AC2=AC3,"Await earlier tie",IF(AC2&lt;AC3,AB3,AB2))</f>
        <v>Rob England</v>
      </c>
      <c r="AI2" s="91">
        <v>-0.84500000000000064</v>
      </c>
      <c r="AJ2" s="73" t="str">
        <f>IF(AI2="","",IF(AI2=AI3,"R",""))</f>
        <v/>
      </c>
      <c r="AK2" s="78">
        <f>INDEX(Results!T:T,MATCH(AH2,Results!V:V,0))</f>
        <v>-0.84500000000000064</v>
      </c>
      <c r="AL2" s="76"/>
      <c r="AM2" s="63">
        <v>1</v>
      </c>
      <c r="AN2" s="654" t="str">
        <f>IF(AI2=AI3,"Await earlier tie",IF(AI2&lt;AI3,AH3,AH2))</f>
        <v>Rob England</v>
      </c>
      <c r="AO2" s="655"/>
      <c r="AP2" s="73" t="str">
        <f>IF(AO2="","",IF(AO2=AO3,"R",""))</f>
        <v/>
      </c>
      <c r="AQ2" s="78">
        <f>INDEX(Results!T:T,MATCH(AN2,Results!V:V,0))</f>
        <v>-0.84500000000000064</v>
      </c>
      <c r="AR2" s="76"/>
      <c r="AS2" s="60">
        <v>1</v>
      </c>
      <c r="AT2" s="62" t="str">
        <f>IF(AO2=AO3,"Await earlier tie",IF(AO2&lt;AO3,AN3,AN2))</f>
        <v>Await earlier tie</v>
      </c>
      <c r="AU2" s="91">
        <v>-5.2</v>
      </c>
      <c r="AV2" s="81" t="str">
        <f>IF(AU2="","",IF(AU2=AU3,"R",""))</f>
        <v/>
      </c>
      <c r="AW2" s="78" t="e">
        <f>INDEX(Results!T:T,MATCH(AT2,Results!V:V,0))</f>
        <v>#N/A</v>
      </c>
      <c r="AX2" s="76"/>
      <c r="AY2" s="76"/>
      <c r="AZ2" s="76"/>
      <c r="BA2" s="76"/>
      <c r="BB2" s="76"/>
      <c r="BC2" s="76"/>
      <c r="BD2" s="76"/>
      <c r="BE2" s="76"/>
      <c r="BF2" s="76"/>
    </row>
    <row r="3" spans="1:58">
      <c r="A3" s="57"/>
      <c r="B3" s="57"/>
      <c r="C3" s="77"/>
      <c r="D3" s="77"/>
      <c r="E3" s="76"/>
      <c r="F3" s="65">
        <v>2</v>
      </c>
      <c r="G3" s="66" t="s">
        <v>295</v>
      </c>
      <c r="H3" s="58"/>
      <c r="I3" s="83"/>
      <c r="J3" s="71" t="s">
        <v>295</v>
      </c>
      <c r="K3" s="72"/>
      <c r="L3" s="74"/>
      <c r="M3" s="75">
        <f>INDEX(Results!T:T,MATCH(J3,Results!V:V,0))</f>
        <v>-0.84500000000000064</v>
      </c>
      <c r="N3" s="58"/>
      <c r="O3" s="684"/>
      <c r="P3" s="576" t="s">
        <v>295</v>
      </c>
      <c r="Q3" s="72">
        <v>3.7300000000000004</v>
      </c>
      <c r="R3" s="61"/>
      <c r="S3" s="78">
        <f>INDEX(Results!T:T,MATCH(P3,Results!V:V,0))</f>
        <v>-0.84500000000000064</v>
      </c>
      <c r="T3" s="58"/>
      <c r="U3" s="63"/>
      <c r="V3" s="68" t="str">
        <f>IF(Q4=Q5,"Await earlier tie",IF(Q4&lt;Q5,P5,P4))</f>
        <v>Simon Greenhalgh</v>
      </c>
      <c r="W3" s="72">
        <v>-3.7</v>
      </c>
      <c r="X3" s="64"/>
      <c r="Y3" s="78">
        <f>INDEX(Results!T:T,MATCH(V3,Results!V:V,0))</f>
        <v>-3.6</v>
      </c>
      <c r="Z3" s="58"/>
      <c r="AA3" s="63"/>
      <c r="AB3" s="68" t="str">
        <f>IF(W4=W5,"Await earlier tie",IF(W4&lt;W5,V5,V4))</f>
        <v>Stephen Barr</v>
      </c>
      <c r="AC3" s="91">
        <v>2.3312500000000007</v>
      </c>
      <c r="AD3" s="64"/>
      <c r="AE3" s="78">
        <f>INDEX(Results!T:T,MATCH(AB3,Results!V:V,0))</f>
        <v>1.6187500000000004</v>
      </c>
      <c r="AF3" s="76"/>
      <c r="AG3" s="63"/>
      <c r="AH3" s="68" t="str">
        <f>IF(AC4=AC5,"Await earlier tie",IF(AC4&lt;AC5,AB5,AB4))</f>
        <v>Nigel Heyes</v>
      </c>
      <c r="AI3" s="91">
        <v>-5.05</v>
      </c>
      <c r="AJ3" s="64"/>
      <c r="AK3" s="78">
        <f>INDEX(Results!T:T,MATCH(AH3,Results!V:V,0))</f>
        <v>-5.05</v>
      </c>
      <c r="AL3" s="76"/>
      <c r="AM3" s="63"/>
      <c r="AN3" s="68" t="str">
        <f>IF(AI4=AI5,"Await earlier tie",IF(AI4&lt;AI5,AH5,AH4))</f>
        <v>Mark Bunn</v>
      </c>
      <c r="AO3" s="91"/>
      <c r="AP3" s="64"/>
      <c r="AQ3" s="78">
        <f>INDEX(Results!T:T,MATCH(AN3,Results!V:V,0))</f>
        <v>-4.625</v>
      </c>
      <c r="AR3" s="76"/>
      <c r="AS3" s="67"/>
      <c r="AT3" s="62" t="str">
        <f>IF(AO4=AO5,"Await earlier tie",IF(AO4&lt;AO5,AN5,AN4))</f>
        <v>Await earlier tie</v>
      </c>
      <c r="AU3" s="91">
        <v>1.2399999999999984</v>
      </c>
      <c r="AV3" s="61"/>
      <c r="AW3" s="78" t="e">
        <f>INDEX(Results!T:T,MATCH(AT3,Results!V:V,0))</f>
        <v>#N/A</v>
      </c>
      <c r="AX3" s="76"/>
      <c r="AY3" s="76"/>
      <c r="AZ3" s="76"/>
      <c r="BA3" s="76"/>
      <c r="BB3" s="76"/>
      <c r="BC3" s="76"/>
      <c r="BD3" s="76"/>
      <c r="BE3" s="76"/>
      <c r="BF3" s="76"/>
    </row>
    <row r="4" spans="1:58">
      <c r="A4" s="57" t="s">
        <v>128</v>
      </c>
      <c r="B4" s="57">
        <f>(POWER(2,B2)-B1)</f>
        <v>14</v>
      </c>
      <c r="C4" s="77"/>
      <c r="D4" s="77"/>
      <c r="E4" s="76"/>
      <c r="F4" s="65">
        <v>3</v>
      </c>
      <c r="G4" s="66" t="s">
        <v>304</v>
      </c>
      <c r="H4" s="58"/>
      <c r="I4" s="84">
        <v>2</v>
      </c>
      <c r="J4" s="71" t="s">
        <v>304</v>
      </c>
      <c r="K4" s="72"/>
      <c r="L4" s="73" t="str">
        <f>IF(K4="","",IF(K4=K5,"R",""))</f>
        <v/>
      </c>
      <c r="M4" s="75">
        <f>INDEX(Results!T:T,MATCH(J4,Results!V:V,0))</f>
        <v>14</v>
      </c>
      <c r="N4" s="58"/>
      <c r="O4" s="82">
        <v>2</v>
      </c>
      <c r="P4" s="576" t="s">
        <v>304</v>
      </c>
      <c r="Q4" s="72">
        <v>-7</v>
      </c>
      <c r="R4" s="81" t="str">
        <f>IF(Q4="","",IF(Q4=Q5,"R",""))</f>
        <v/>
      </c>
      <c r="S4" s="78">
        <f>INDEX(Results!T:T,MATCH(P4,Results!V:V,0))</f>
        <v>14</v>
      </c>
      <c r="T4" s="58"/>
      <c r="U4" s="60">
        <v>2</v>
      </c>
      <c r="V4" s="68" t="str">
        <f>IF(Q6=Q7,"Await earlier tie",IF(Q6&lt;Q7,P7,P6))</f>
        <v>Tom Robinson</v>
      </c>
      <c r="W4" s="72">
        <v>-7</v>
      </c>
      <c r="X4" s="81" t="str">
        <f>IF(W4="","",IF(W4=W5,"R",""))</f>
        <v/>
      </c>
      <c r="Y4" s="78">
        <f>INDEX(Results!T:T,MATCH(V4,Results!V:V,0))</f>
        <v>-5</v>
      </c>
      <c r="Z4" s="58"/>
      <c r="AA4" s="60">
        <v>2</v>
      </c>
      <c r="AB4" s="68" t="str">
        <f>IF(W6=W7,"Await earlier tie",IF(W6&lt;W7,V7,V6))</f>
        <v>Nigel Heyes</v>
      </c>
      <c r="AC4" s="91">
        <v>-5.1538461538461533</v>
      </c>
      <c r="AD4" s="73" t="str">
        <f>IF(AC4="","",IF(AC4=AC5,"R",""))</f>
        <v/>
      </c>
      <c r="AE4" s="78">
        <f>INDEX(Results!T:T,MATCH(AB4,Results!V:V,0))</f>
        <v>-5.05</v>
      </c>
      <c r="AF4" s="76"/>
      <c r="AG4" s="60">
        <v>2</v>
      </c>
      <c r="AH4" s="68" t="str">
        <f>IF(AC6=AC7,"Await earlier tie",IF(AC6&lt;AC7,AB7,AB6))</f>
        <v>David Dunn</v>
      </c>
      <c r="AI4" s="91">
        <v>-7</v>
      </c>
      <c r="AJ4" s="73" t="str">
        <f>IF(AI4="","",IF(AI4=AI5,"R",""))</f>
        <v/>
      </c>
      <c r="AK4" s="78">
        <f>INDEX(Results!T:T,MATCH(AH4,Results!V:V,0))</f>
        <v>-7</v>
      </c>
      <c r="AL4" s="76"/>
      <c r="AM4" s="60">
        <v>2</v>
      </c>
      <c r="AN4" s="68" t="str">
        <f>IF(AI6=AI7,"Await earlier tie",IF(AI6&lt;AI7,AH7,AH6))</f>
        <v>Howard Bradley</v>
      </c>
      <c r="AO4" s="91"/>
      <c r="AP4" s="73" t="str">
        <f>IF(AO4="","",IF(AO4=AO5,"R",""))</f>
        <v/>
      </c>
      <c r="AQ4" s="78">
        <f>INDEX(Results!T:T,MATCH(AN4,Results!V:V,0))</f>
        <v>-5</v>
      </c>
      <c r="AR4" s="76"/>
      <c r="AT4" s="76"/>
      <c r="AU4" s="76"/>
      <c r="AV4" s="76"/>
      <c r="AW4" s="80"/>
      <c r="AX4" s="76"/>
      <c r="AY4" s="76"/>
      <c r="AZ4" s="76"/>
      <c r="BA4" s="76"/>
      <c r="BB4" s="76"/>
      <c r="BC4" s="76"/>
      <c r="BD4" s="76"/>
      <c r="BE4" s="76"/>
      <c r="BF4" s="76"/>
    </row>
    <row r="5" spans="1:58">
      <c r="A5" s="57"/>
      <c r="B5" s="57"/>
      <c r="C5" s="77"/>
      <c r="D5" s="77"/>
      <c r="E5" s="76"/>
      <c r="F5" s="65">
        <v>4</v>
      </c>
      <c r="G5" s="66" t="s">
        <v>297</v>
      </c>
      <c r="H5" s="58"/>
      <c r="I5" s="83"/>
      <c r="J5" s="71" t="s">
        <v>297</v>
      </c>
      <c r="K5" s="72"/>
      <c r="L5" s="74"/>
      <c r="M5" s="75">
        <f>INDEX(Results!T:T,MATCH(J5,Results!V:V,0))</f>
        <v>-3.6</v>
      </c>
      <c r="N5" s="58"/>
      <c r="O5" s="83"/>
      <c r="P5" s="576" t="s">
        <v>297</v>
      </c>
      <c r="Q5" s="72">
        <v>-3.3</v>
      </c>
      <c r="R5" s="61"/>
      <c r="S5" s="78">
        <f>INDEX(Results!T:T,MATCH(P5,Results!V:V,0))</f>
        <v>-3.6</v>
      </c>
      <c r="T5" s="58"/>
      <c r="U5" s="63"/>
      <c r="V5" s="68" t="str">
        <f>IF(Q9=Q8,"Await earlier tie",IF(Q8&lt;Q9,P9,P8))</f>
        <v>Stephen Barr</v>
      </c>
      <c r="W5" s="72">
        <v>-5.0909090909090908</v>
      </c>
      <c r="X5" s="64"/>
      <c r="Y5" s="78">
        <f>INDEX(Results!T:T,MATCH(V5,Results!V:V,0))</f>
        <v>1.6187500000000004</v>
      </c>
      <c r="Z5" s="58"/>
      <c r="AA5" s="63"/>
      <c r="AB5" s="68" t="str">
        <f>IF(W8=W9,"Await earlier tie",IF(W8&lt;W9,V9,V8))</f>
        <v>Paul Adderley</v>
      </c>
      <c r="AC5" s="91">
        <v>-7</v>
      </c>
      <c r="AD5" s="64"/>
      <c r="AE5" s="78" t="e">
        <f>INDEX(Results!T:T,MATCH(AB5,Results!V:V,0))</f>
        <v>#VALUE!</v>
      </c>
      <c r="AF5" s="76"/>
      <c r="AG5" s="63"/>
      <c r="AH5" s="68" t="str">
        <f>IF(AC8=AC9,"Await earlier tie",IF(AC8&lt;AC9,AB9,AB8))</f>
        <v>Mark Bunn</v>
      </c>
      <c r="AI5" s="91">
        <v>-4.95</v>
      </c>
      <c r="AJ5" s="64"/>
      <c r="AK5" s="78">
        <f>INDEX(Results!T:T,MATCH(AH5,Results!V:V,0))</f>
        <v>-4.625</v>
      </c>
      <c r="AL5" s="76"/>
      <c r="AM5" s="67"/>
      <c r="AN5" s="68" t="str">
        <f>IF(AI8=AI9,"Await earlier tie",IF(AI8&lt;AI9,AH9,AH8))</f>
        <v>Paul Barnes</v>
      </c>
      <c r="AO5" s="91"/>
      <c r="AP5" s="61"/>
      <c r="AQ5" s="78">
        <f>INDEX(Results!T:T,MATCH(AN5,Results!V:V,0))</f>
        <v>7.5</v>
      </c>
      <c r="AR5" s="76"/>
      <c r="AS5" s="59"/>
      <c r="AT5" s="58"/>
      <c r="AU5" s="58"/>
      <c r="AV5" s="58"/>
      <c r="AW5" s="79"/>
      <c r="AX5" s="76"/>
      <c r="AY5" s="76"/>
      <c r="AZ5" s="76"/>
      <c r="BA5" s="76"/>
      <c r="BB5" s="76"/>
      <c r="BC5" s="76"/>
      <c r="BD5" s="76"/>
      <c r="BE5" s="76"/>
      <c r="BF5" s="76"/>
    </row>
    <row r="6" spans="1:58">
      <c r="A6" s="57" t="s">
        <v>444</v>
      </c>
      <c r="B6" s="57">
        <f>(B1-B4)/2</f>
        <v>18</v>
      </c>
      <c r="C6" s="77"/>
      <c r="D6" s="77"/>
      <c r="E6" s="76"/>
      <c r="F6" s="65">
        <v>5</v>
      </c>
      <c r="G6" s="66" t="s">
        <v>314</v>
      </c>
      <c r="H6" s="58"/>
      <c r="I6" s="84">
        <v>3</v>
      </c>
      <c r="J6" s="71" t="s">
        <v>314</v>
      </c>
      <c r="K6" s="72"/>
      <c r="L6" s="73" t="str">
        <f>IF(K6="","",IF(K6=K7,"R",""))</f>
        <v/>
      </c>
      <c r="M6" s="75">
        <f>INDEX(Results!T:T,MATCH(J6,Results!V:V,0))</f>
        <v>-5</v>
      </c>
      <c r="N6" s="58"/>
      <c r="O6" s="84">
        <v>3</v>
      </c>
      <c r="P6" s="576" t="s">
        <v>314</v>
      </c>
      <c r="Q6" s="72">
        <v>6.625</v>
      </c>
      <c r="R6" s="81" t="str">
        <f>IF(Q6="","",IF(Q6=Q7,"R",""))</f>
        <v/>
      </c>
      <c r="S6" s="78">
        <f>INDEX(Results!T:T,MATCH(P6,Results!V:V,0))</f>
        <v>-5</v>
      </c>
      <c r="T6" s="58"/>
      <c r="U6" s="60">
        <v>3</v>
      </c>
      <c r="V6" s="68" t="str">
        <f>IF(Q10=Q11,"Await earlier tie",IF(Q10&lt;Q11,P11,P10))</f>
        <v>Vinny Topping</v>
      </c>
      <c r="W6" s="72">
        <v>1.4050000000000011</v>
      </c>
      <c r="X6" s="81" t="str">
        <f>IF(W6="","",IF(W6=W7,"R",""))</f>
        <v/>
      </c>
      <c r="Y6" s="78">
        <f>INDEX(Results!T:T,MATCH(V6,Results!V:V,0))</f>
        <v>-5.15</v>
      </c>
      <c r="Z6" s="58"/>
      <c r="AA6" s="60">
        <v>3</v>
      </c>
      <c r="AB6" s="68" t="str">
        <f>IF(W10=W11,"Await earlier tie",IF(W10&lt;W11,V11,V10))</f>
        <v>David Dunn</v>
      </c>
      <c r="AC6" s="91">
        <v>17.283571428571431</v>
      </c>
      <c r="AD6" s="73" t="str">
        <f>IF(AC6="","",IF(AC6=AC7,"R",""))</f>
        <v/>
      </c>
      <c r="AE6" s="78">
        <f>INDEX(Results!T:T,MATCH(AB6,Results!V:V,0))</f>
        <v>-7</v>
      </c>
      <c r="AF6" s="76"/>
      <c r="AG6" s="60">
        <v>3</v>
      </c>
      <c r="AH6" s="68" t="str">
        <f>IF(AC10=AC11,"Await earlier tie",IF(AC10&lt;AC11,AB11,AB10))</f>
        <v>Howard Bradley</v>
      </c>
      <c r="AI6" s="91">
        <v>2.8000000000000007</v>
      </c>
      <c r="AJ6" s="73" t="str">
        <f>IF(AI6="","",IF(AI6=AI7,"R",""))</f>
        <v/>
      </c>
      <c r="AK6" s="78">
        <f>INDEX(Results!T:T,MATCH(AH6,Results!V:V,0))</f>
        <v>-5</v>
      </c>
      <c r="AL6" s="76"/>
      <c r="AM6" s="76"/>
      <c r="AN6" s="76"/>
      <c r="AO6" s="76"/>
      <c r="AP6" s="76"/>
      <c r="AQ6" s="80"/>
      <c r="AR6" s="76"/>
      <c r="AS6" s="59" t="s">
        <v>142</v>
      </c>
      <c r="AT6" s="58"/>
      <c r="AU6" s="58"/>
      <c r="AV6" s="58"/>
      <c r="AW6" s="79"/>
      <c r="AX6" s="76"/>
      <c r="AY6" s="76"/>
      <c r="AZ6" s="76"/>
      <c r="BA6" s="76"/>
      <c r="BB6" s="76"/>
      <c r="BC6" s="76"/>
      <c r="BD6" s="76"/>
      <c r="BE6" s="76"/>
      <c r="BF6" s="76"/>
    </row>
    <row r="7" spans="1:58">
      <c r="A7" s="57"/>
      <c r="B7" s="57"/>
      <c r="C7" s="77"/>
      <c r="D7" s="77"/>
      <c r="E7" s="76"/>
      <c r="F7" s="65">
        <v>6</v>
      </c>
      <c r="G7" s="66" t="s">
        <v>296</v>
      </c>
      <c r="H7" s="58"/>
      <c r="I7" s="83"/>
      <c r="J7" s="71" t="s">
        <v>296</v>
      </c>
      <c r="K7" s="72"/>
      <c r="L7" s="74"/>
      <c r="M7" s="75">
        <f>INDEX(Results!T:T,MATCH(J7,Results!V:V,0))</f>
        <v>-7</v>
      </c>
      <c r="N7" s="58"/>
      <c r="O7" s="83"/>
      <c r="P7" s="576" t="s">
        <v>296</v>
      </c>
      <c r="Q7" s="72">
        <v>-0.95000000000000018</v>
      </c>
      <c r="R7" s="61"/>
      <c r="S7" s="78">
        <f>INDEX(Results!T:T,MATCH(P7,Results!V:V,0))</f>
        <v>-7</v>
      </c>
      <c r="T7" s="58"/>
      <c r="U7" s="63"/>
      <c r="V7" s="68" t="str">
        <f>IF(Q12=Q13,"Await earlier tie",IF(Q12&lt;Q13,P13,P12))</f>
        <v>Nigel Heyes</v>
      </c>
      <c r="W7" s="72">
        <v>5.0500000000000007</v>
      </c>
      <c r="X7" s="64"/>
      <c r="Y7" s="78">
        <f>INDEX(Results!T:T,MATCH(V7,Results!V:V,0))</f>
        <v>-5.05</v>
      </c>
      <c r="Z7" s="58"/>
      <c r="AA7" s="63"/>
      <c r="AB7" s="68" t="str">
        <f>IF(W12=W13,"Await earlier tie",IF(W12&lt;W13,V13,V12))</f>
        <v>Chris Luck</v>
      </c>
      <c r="AC7" s="91">
        <v>-4.4000000000000004</v>
      </c>
      <c r="AD7" s="64"/>
      <c r="AE7" s="78">
        <f>INDEX(Results!T:T,MATCH(AB7,Results!V:V,0))</f>
        <v>-4.9000000000000004</v>
      </c>
      <c r="AF7" s="76"/>
      <c r="AG7" s="63"/>
      <c r="AH7" s="68" t="str">
        <f>IF(AC12=AC13,"Await earlier tie",IF(AC12&lt;AC13,AB13,AB12))</f>
        <v>Gareth Powell</v>
      </c>
      <c r="AI7" s="91">
        <v>-3.75</v>
      </c>
      <c r="AJ7" s="64"/>
      <c r="AK7" s="78">
        <f>INDEX(Results!T:T,MATCH(AH7,Results!V:V,0))</f>
        <v>14</v>
      </c>
      <c r="AL7" s="76"/>
      <c r="AM7" s="59" t="s">
        <v>142</v>
      </c>
      <c r="AN7" s="58"/>
      <c r="AO7" s="58"/>
      <c r="AP7" s="58"/>
      <c r="AQ7" s="80"/>
      <c r="AR7" s="76"/>
      <c r="AS7" s="683"/>
      <c r="AT7" s="591"/>
      <c r="AU7" s="592"/>
      <c r="AV7" s="81" t="str">
        <f>IF(AU7="","",IF(AU7=AU8,"R",""))</f>
        <v/>
      </c>
      <c r="AW7" s="79"/>
      <c r="AX7" s="76"/>
      <c r="AY7" s="76"/>
      <c r="AZ7" s="76"/>
      <c r="BA7" s="76"/>
      <c r="BB7" s="76"/>
      <c r="BC7" s="76"/>
      <c r="BD7" s="76"/>
      <c r="BE7" s="76"/>
      <c r="BF7" s="76"/>
    </row>
    <row r="8" spans="1:58">
      <c r="A8" s="57" t="s">
        <v>129</v>
      </c>
      <c r="B8" s="57" t="s">
        <v>446</v>
      </c>
      <c r="C8" s="77"/>
      <c r="D8" s="77"/>
      <c r="E8" s="76"/>
      <c r="F8" s="65">
        <v>7</v>
      </c>
      <c r="G8" s="66" t="s">
        <v>272</v>
      </c>
      <c r="H8" s="58"/>
      <c r="I8" s="84">
        <v>4</v>
      </c>
      <c r="J8" s="71" t="s">
        <v>272</v>
      </c>
      <c r="K8" s="72"/>
      <c r="L8" s="73" t="str">
        <f>IF(K8="","",IF(K8=K9,"R",""))</f>
        <v/>
      </c>
      <c r="M8" s="75">
        <f>INDEX(Results!T:T,MATCH(J8,Results!V:V,0))</f>
        <v>1.6187500000000004</v>
      </c>
      <c r="N8" s="58"/>
      <c r="O8" s="84">
        <v>4</v>
      </c>
      <c r="P8" s="576" t="s">
        <v>272</v>
      </c>
      <c r="Q8" s="72">
        <v>-3.4</v>
      </c>
      <c r="R8" s="81" t="str">
        <f>IF(Q8="","",IF(Q8=Q9,"R",""))</f>
        <v/>
      </c>
      <c r="S8" s="78">
        <f>INDEX(Results!T:T,MATCH(P8,Results!V:V,0))</f>
        <v>1.6187500000000004</v>
      </c>
      <c r="T8" s="58"/>
      <c r="U8" s="60">
        <v>4</v>
      </c>
      <c r="V8" s="68" t="str">
        <f>IF(Q14=Q15,"Await earlier tie",IF(Q14&lt;Q15,P15,P14))</f>
        <v>Mo Sudell</v>
      </c>
      <c r="W8" s="72">
        <v>-5.7</v>
      </c>
      <c r="X8" s="81" t="str">
        <f>IF(W8="","",IF(W8=W9,"R",""))</f>
        <v/>
      </c>
      <c r="Y8" s="78">
        <f>INDEX(Results!T:T,MATCH(V8,Results!V:V,0))</f>
        <v>-5.4666666666666668</v>
      </c>
      <c r="Z8" s="58"/>
      <c r="AA8" s="60">
        <v>4</v>
      </c>
      <c r="AB8" s="68" t="str">
        <f>IF(W14=W15,"Await earlier tie",IF(W14&lt;W15,V15,V14))</f>
        <v>Mark Bunn</v>
      </c>
      <c r="AC8" s="91">
        <v>-7</v>
      </c>
      <c r="AD8" s="73" t="str">
        <f>IF(AC8="","",IF(AC8=AC9,"R",""))</f>
        <v/>
      </c>
      <c r="AE8" s="78">
        <f>INDEX(Results!T:T,MATCH(AB8,Results!V:V,0))</f>
        <v>-4.625</v>
      </c>
      <c r="AF8" s="76"/>
      <c r="AG8" s="60">
        <v>4</v>
      </c>
      <c r="AH8" s="68" t="str">
        <f>IF(AC14=AC15,"Await earlier tie",IF(AC14&lt;AC15,AB15,AB14))</f>
        <v>Paul Barnes</v>
      </c>
      <c r="AI8" s="91">
        <v>-5.15</v>
      </c>
      <c r="AJ8" s="73" t="str">
        <f>IF(AI8="","",IF(AI8=AI9,"R",""))</f>
        <v/>
      </c>
      <c r="AK8" s="78">
        <f>INDEX(Results!T:T,MATCH(AH8,Results!V:V,0))</f>
        <v>7.5</v>
      </c>
      <c r="AL8" s="76"/>
      <c r="AM8" s="683"/>
      <c r="AN8" s="68"/>
      <c r="AO8" s="91"/>
      <c r="AP8" s="81" t="str">
        <f>IF(AO8="","",IF(AO8=AO9,"R",""))</f>
        <v/>
      </c>
      <c r="AQ8" s="80"/>
      <c r="AR8" s="76"/>
      <c r="AS8" s="684"/>
      <c r="AT8" s="591"/>
      <c r="AU8" s="592"/>
      <c r="AV8" s="61"/>
      <c r="AW8" s="79"/>
      <c r="AX8" s="76"/>
      <c r="AY8" s="76"/>
      <c r="AZ8" s="76"/>
      <c r="BA8" s="76"/>
      <c r="BB8" s="76"/>
      <c r="BC8" s="76"/>
      <c r="BD8" s="76"/>
      <c r="BE8" s="76"/>
      <c r="BF8" s="76"/>
    </row>
    <row r="9" spans="1:58">
      <c r="A9" s="76"/>
      <c r="B9" s="76"/>
      <c r="C9" s="77"/>
      <c r="D9" s="77"/>
      <c r="E9" s="76"/>
      <c r="F9" s="65">
        <v>8</v>
      </c>
      <c r="G9" s="66" t="s">
        <v>274</v>
      </c>
      <c r="H9" s="58"/>
      <c r="I9" s="83"/>
      <c r="J9" s="71" t="s">
        <v>274</v>
      </c>
      <c r="K9" s="72"/>
      <c r="L9" s="74"/>
      <c r="M9" s="75">
        <f>INDEX(Results!T:T,MATCH(J9,Results!V:V,0))</f>
        <v>0.83500000000000085</v>
      </c>
      <c r="N9" s="58"/>
      <c r="O9" s="83"/>
      <c r="P9" s="576" t="s">
        <v>274</v>
      </c>
      <c r="Q9" s="72">
        <v>-4.5999999999999996</v>
      </c>
      <c r="R9" s="61"/>
      <c r="S9" s="78">
        <f>INDEX(Results!T:T,MATCH(P9,Results!V:V,0))</f>
        <v>0.83500000000000085</v>
      </c>
      <c r="T9" s="58"/>
      <c r="U9" s="63"/>
      <c r="V9" s="68" t="str">
        <f>IF(Q16=Q17,"Await earlier tie",IF(Q16&lt;Q17,P17,P16))</f>
        <v>Paul Adderley</v>
      </c>
      <c r="W9" s="72">
        <v>-4.7</v>
      </c>
      <c r="X9" s="64"/>
      <c r="Y9" s="78" t="e">
        <f>INDEX(Results!T:T,MATCH(V9,Results!V:V,0))</f>
        <v>#VALUE!</v>
      </c>
      <c r="Z9" s="58"/>
      <c r="AA9" s="63"/>
      <c r="AB9" s="68" t="str">
        <f>IF(W16=W17,"Await earlier tie",IF(W16&lt;W17,V17,V16))</f>
        <v>Martin Tarbuck</v>
      </c>
      <c r="AC9" s="91">
        <v>-10</v>
      </c>
      <c r="AD9" s="64"/>
      <c r="AE9" s="78">
        <f>INDEX(Results!T:T,MATCH(AB9,Results!V:V,0))</f>
        <v>12.139999999999997</v>
      </c>
      <c r="AF9" s="76"/>
      <c r="AG9" s="67"/>
      <c r="AH9" s="68" t="str">
        <f>IF(AC16=AC17,"Await earlier tie",IF(AC16&lt;AC17,AB17,AB16))</f>
        <v>Mike Penk</v>
      </c>
      <c r="AI9" s="91">
        <v>-10</v>
      </c>
      <c r="AJ9" s="61"/>
      <c r="AK9" s="78">
        <f>INDEX(Results!T:T,MATCH(AH9,Results!V:V,0))</f>
        <v>2.125</v>
      </c>
      <c r="AL9" s="76"/>
      <c r="AM9" s="684"/>
      <c r="AN9" s="68"/>
      <c r="AO9" s="91"/>
      <c r="AP9" s="61"/>
      <c r="AQ9" s="80"/>
      <c r="AR9" s="76"/>
      <c r="AS9" s="82"/>
      <c r="AT9" s="591"/>
      <c r="AU9" s="592"/>
      <c r="AV9" s="81" t="str">
        <f>IF(AU9="","",IF(AU9=AU10,"R",""))</f>
        <v/>
      </c>
      <c r="AW9" s="79"/>
      <c r="AX9" s="76"/>
      <c r="AY9" s="76"/>
      <c r="AZ9" s="76"/>
      <c r="BA9" s="76"/>
      <c r="BB9" s="76"/>
      <c r="BC9" s="76"/>
      <c r="BD9" s="76"/>
      <c r="BE9" s="76"/>
      <c r="BF9" s="76"/>
    </row>
    <row r="10" spans="1:58">
      <c r="A10" s="76"/>
      <c r="B10" s="76"/>
      <c r="C10" s="77"/>
      <c r="D10" s="77"/>
      <c r="E10" s="76"/>
      <c r="F10" s="65">
        <v>9</v>
      </c>
      <c r="G10" s="66" t="s">
        <v>291</v>
      </c>
      <c r="H10" s="58"/>
      <c r="I10" s="84">
        <v>5</v>
      </c>
      <c r="J10" s="71" t="s">
        <v>291</v>
      </c>
      <c r="K10" s="72"/>
      <c r="L10" s="73" t="str">
        <f>IF(K10="","",IF(K10=K11,"R",""))</f>
        <v/>
      </c>
      <c r="M10" s="75">
        <f>INDEX(Results!T:T,MATCH(J10,Results!V:V,0))</f>
        <v>-5.15</v>
      </c>
      <c r="N10" s="58"/>
      <c r="O10" s="84">
        <v>5</v>
      </c>
      <c r="P10" s="576" t="s">
        <v>291</v>
      </c>
      <c r="Q10" s="72">
        <v>-0.72727272727272663</v>
      </c>
      <c r="R10" s="81" t="str">
        <f>IF(Q10="","",IF(Q10=Q11,"R",""))</f>
        <v/>
      </c>
      <c r="S10" s="78">
        <f>INDEX(Results!T:T,MATCH(P10,Results!V:V,0))</f>
        <v>-5.15</v>
      </c>
      <c r="T10" s="58"/>
      <c r="U10" s="60">
        <v>5</v>
      </c>
      <c r="V10" s="68" t="str">
        <f>IF(Q18=Q19,"Await earlier tie",IF(Q18&lt;Q19,P19,P18))</f>
        <v>Lennie Bow</v>
      </c>
      <c r="W10" s="72">
        <v>-5.4285714285714288</v>
      </c>
      <c r="X10" s="81" t="str">
        <f>IF(W10="","",IF(W10=W11,"R",""))</f>
        <v/>
      </c>
      <c r="Y10" s="78">
        <f>INDEX(Results!T:T,MATCH(V10,Results!V:V,0))</f>
        <v>-5.5</v>
      </c>
      <c r="Z10" s="58"/>
      <c r="AA10" s="60">
        <v>5</v>
      </c>
      <c r="AB10" s="68" t="str">
        <f>IF(W18=W19,"Await earlier tie",IF(W18&lt;W19,V19,V18))</f>
        <v>Howard Bradley</v>
      </c>
      <c r="AC10" s="91">
        <v>-1.75</v>
      </c>
      <c r="AD10" s="73" t="str">
        <f>IF(AC10="","",IF(AC10=AC11,"R",""))</f>
        <v/>
      </c>
      <c r="AE10" s="78">
        <f>INDEX(Results!T:T,MATCH(AB10,Results!V:V,0))</f>
        <v>-5</v>
      </c>
      <c r="AF10" s="76"/>
      <c r="AG10" s="76"/>
      <c r="AH10" s="76"/>
      <c r="AI10" s="87"/>
      <c r="AJ10" s="76"/>
      <c r="AK10" s="80"/>
      <c r="AL10" s="76"/>
      <c r="AM10" s="82"/>
      <c r="AN10" s="68"/>
      <c r="AO10" s="69"/>
      <c r="AP10" s="81" t="str">
        <f>IF(AO10="","",IF(AO10=AO11,"R",""))</f>
        <v/>
      </c>
      <c r="AQ10" s="80"/>
      <c r="AR10" s="76"/>
      <c r="AS10" s="83"/>
      <c r="AT10" s="591"/>
      <c r="AU10" s="592"/>
      <c r="AV10" s="61"/>
      <c r="AW10" s="79"/>
      <c r="AX10" s="76"/>
      <c r="AY10" s="76"/>
      <c r="AZ10" s="76"/>
      <c r="BA10" s="76"/>
      <c r="BB10" s="76"/>
      <c r="BC10" s="76"/>
      <c r="BD10" s="76"/>
      <c r="BE10" s="76"/>
      <c r="BF10" s="76"/>
    </row>
    <row r="11" spans="1:58">
      <c r="A11" s="85" t="s">
        <v>146</v>
      </c>
      <c r="B11" s="76"/>
      <c r="C11" s="77"/>
      <c r="D11" s="77"/>
      <c r="E11" s="76"/>
      <c r="F11" s="65">
        <v>10</v>
      </c>
      <c r="G11" s="66" t="s">
        <v>277</v>
      </c>
      <c r="H11" s="58"/>
      <c r="I11" s="83"/>
      <c r="J11" s="71" t="s">
        <v>277</v>
      </c>
      <c r="K11" s="72"/>
      <c r="L11" s="74"/>
      <c r="M11" s="75">
        <f>INDEX(Results!T:T,MATCH(J11,Results!V:V,0))</f>
        <v>10.683333333333334</v>
      </c>
      <c r="N11" s="58"/>
      <c r="O11" s="83"/>
      <c r="P11" s="576" t="s">
        <v>277</v>
      </c>
      <c r="Q11" s="72">
        <v>-4.9000000000000004</v>
      </c>
      <c r="R11" s="61"/>
      <c r="S11" s="78">
        <f>INDEX(Results!T:T,MATCH(P11,Results!V:V,0))</f>
        <v>10.683333333333334</v>
      </c>
      <c r="T11" s="58"/>
      <c r="U11" s="63"/>
      <c r="V11" s="68" t="str">
        <f>IF(Q20=Q21,"Await earlier tie",IF(Q20&lt;Q21,P21,P20))</f>
        <v>David Dunn</v>
      </c>
      <c r="W11" s="72">
        <v>44</v>
      </c>
      <c r="X11" s="64"/>
      <c r="Y11" s="78">
        <f>INDEX(Results!T:T,MATCH(V11,Results!V:V,0))</f>
        <v>-7</v>
      </c>
      <c r="Z11" s="58"/>
      <c r="AA11" s="63"/>
      <c r="AB11" s="68" t="str">
        <f>IF(W20=W21,"Await earlier tie",IF(W20&lt;W21,V21,V20))</f>
        <v>Gerard Ventom</v>
      </c>
      <c r="AC11" s="91">
        <v>-4.25</v>
      </c>
      <c r="AD11" s="64"/>
      <c r="AE11" s="78">
        <f>INDEX(Results!T:T,MATCH(AB11,Results!V:V,0))</f>
        <v>62.2</v>
      </c>
      <c r="AF11" s="76"/>
      <c r="AG11" s="76"/>
      <c r="AH11" s="76"/>
      <c r="AI11" s="87"/>
      <c r="AJ11" s="76"/>
      <c r="AK11" s="80"/>
      <c r="AL11" s="76"/>
      <c r="AM11" s="83"/>
      <c r="AN11" s="68"/>
      <c r="AO11" s="69"/>
      <c r="AP11" s="61"/>
      <c r="AQ11" s="80"/>
      <c r="AR11" s="76"/>
      <c r="AS11" s="76"/>
      <c r="AT11" s="76"/>
      <c r="AU11" s="76"/>
      <c r="AV11" s="76"/>
      <c r="AW11" s="76"/>
      <c r="AX11" s="76"/>
      <c r="AY11" s="76"/>
      <c r="AZ11" s="76"/>
      <c r="BA11" s="76"/>
      <c r="BB11" s="76"/>
      <c r="BC11" s="76"/>
      <c r="BD11" s="76"/>
      <c r="BE11" s="76"/>
      <c r="BF11" s="76"/>
    </row>
    <row r="12" spans="1:58">
      <c r="A12" s="76"/>
      <c r="B12" s="76"/>
      <c r="C12" s="77"/>
      <c r="D12" s="77"/>
      <c r="E12" s="76"/>
      <c r="F12" s="65">
        <v>11</v>
      </c>
      <c r="G12" s="66" t="s">
        <v>300</v>
      </c>
      <c r="H12" s="58"/>
      <c r="I12" s="84">
        <v>6</v>
      </c>
      <c r="J12" s="71" t="s">
        <v>300</v>
      </c>
      <c r="K12" s="72"/>
      <c r="L12" s="73" t="str">
        <f>IF(K12="","",IF(K12=K13,"R",""))</f>
        <v/>
      </c>
      <c r="M12" s="75">
        <f>INDEX(Results!T:T,MATCH(J12,Results!V:V,0))</f>
        <v>-5.05</v>
      </c>
      <c r="N12" s="58"/>
      <c r="O12" s="84">
        <v>6</v>
      </c>
      <c r="P12" s="576" t="s">
        <v>300</v>
      </c>
      <c r="Q12" s="72">
        <v>30.327272727272728</v>
      </c>
      <c r="R12" s="81" t="str">
        <f>IF(Q12="","",IF(Q12=Q13,"R",""))</f>
        <v/>
      </c>
      <c r="S12" s="78">
        <f>INDEX(Results!T:T,MATCH(P12,Results!V:V,0))</f>
        <v>-5.05</v>
      </c>
      <c r="T12" s="58"/>
      <c r="U12" s="60">
        <v>6</v>
      </c>
      <c r="V12" s="68" t="str">
        <f>IF(Q22=Q23,"Await earlier tie",IF(Q22&lt;Q23,P23,P22))</f>
        <v>Nick Blocksidge</v>
      </c>
      <c r="W12" s="72">
        <v>-7</v>
      </c>
      <c r="X12" s="81" t="str">
        <f>IF(W12="","",IF(W12=W13,"R",""))</f>
        <v/>
      </c>
      <c r="Y12" s="78" t="e">
        <f>INDEX(Results!T:T,MATCH(V12,Results!V:V,0))</f>
        <v>#VALUE!</v>
      </c>
      <c r="Z12" s="58"/>
      <c r="AA12" s="60">
        <v>6</v>
      </c>
      <c r="AB12" s="68" t="str">
        <f>IF(W22=W23,"Await earlier tie",IF(W22&lt;W23,V23,V22))</f>
        <v>Dave Orrell</v>
      </c>
      <c r="AC12" s="91">
        <v>-5.3</v>
      </c>
      <c r="AD12" s="73" t="str">
        <f>IF(AC12="","",IF(AC12=AC13,"R",""))</f>
        <v/>
      </c>
      <c r="AE12" s="78" t="e">
        <f>INDEX(Results!T:T,MATCH(AB12,Results!V:V,0))</f>
        <v>#VALUE!</v>
      </c>
      <c r="AF12" s="76"/>
      <c r="AG12" s="59" t="s">
        <v>511</v>
      </c>
      <c r="AH12" s="58"/>
      <c r="AI12" s="86"/>
      <c r="AJ12" s="58"/>
      <c r="AK12" s="80"/>
      <c r="AL12" s="76"/>
      <c r="AM12" s="76"/>
      <c r="AN12" s="76"/>
      <c r="AO12" s="76"/>
      <c r="AP12" s="76"/>
      <c r="AQ12" s="76"/>
      <c r="AR12" s="76"/>
      <c r="AS12" s="76"/>
      <c r="AT12" s="76"/>
      <c r="AU12" s="76"/>
      <c r="AV12" s="76"/>
      <c r="AW12" s="76"/>
      <c r="AX12" s="76"/>
      <c r="AY12" s="76"/>
      <c r="AZ12" s="76"/>
      <c r="BA12" s="76"/>
      <c r="BB12" s="76"/>
      <c r="BC12" s="76"/>
      <c r="BD12" s="76"/>
      <c r="BE12" s="76"/>
      <c r="BF12" s="76"/>
    </row>
    <row r="13" spans="1:58">
      <c r="A13" s="76"/>
      <c r="B13" s="351" t="s">
        <v>449</v>
      </c>
      <c r="C13" s="501" t="s">
        <v>30</v>
      </c>
      <c r="D13" s="502" t="s">
        <v>486</v>
      </c>
      <c r="E13" s="76"/>
      <c r="F13" s="65">
        <v>12</v>
      </c>
      <c r="G13" s="66" t="s">
        <v>505</v>
      </c>
      <c r="H13" s="58"/>
      <c r="I13" s="83"/>
      <c r="J13" s="71" t="s">
        <v>505</v>
      </c>
      <c r="K13" s="72"/>
      <c r="L13" s="74"/>
      <c r="M13" s="75">
        <f>INDEX(Results!T:T,MATCH(J13,Results!V:V,0))</f>
        <v>-3.5</v>
      </c>
      <c r="N13" s="58"/>
      <c r="O13" s="83"/>
      <c r="P13" s="576" t="s">
        <v>505</v>
      </c>
      <c r="Q13" s="72">
        <v>-3.4</v>
      </c>
      <c r="R13" s="61"/>
      <c r="S13" s="78">
        <f>INDEX(Results!T:T,MATCH(P13,Results!V:V,0))</f>
        <v>-3.5</v>
      </c>
      <c r="T13" s="58"/>
      <c r="U13" s="63"/>
      <c r="V13" s="68" t="str">
        <f>IF(Q24=Q25,"Await earlier tie",IF(Q24&lt;Q25,P25,P24))</f>
        <v>Chris Luck</v>
      </c>
      <c r="W13" s="72">
        <v>3.1999999999999993</v>
      </c>
      <c r="X13" s="64"/>
      <c r="Y13" s="78">
        <f>INDEX(Results!T:T,MATCH(V13,Results!V:V,0))</f>
        <v>-4.9000000000000004</v>
      </c>
      <c r="Z13" s="58"/>
      <c r="AA13" s="63"/>
      <c r="AB13" s="68" t="str">
        <f>IF(W24=W25,"Await earlier tie",IF(W24&lt;W25,V25,V24))</f>
        <v>Gareth Powell</v>
      </c>
      <c r="AC13" s="91">
        <v>-3.2</v>
      </c>
      <c r="AD13" s="64"/>
      <c r="AE13" s="78">
        <f>INDEX(Results!T:T,MATCH(AB13,Results!V:V,0))</f>
        <v>14</v>
      </c>
      <c r="AF13" s="76"/>
      <c r="AG13" s="60">
        <v>1</v>
      </c>
      <c r="AH13" s="70" t="s">
        <v>295</v>
      </c>
      <c r="AI13" s="72">
        <v>-5.1538461538461533</v>
      </c>
      <c r="AJ13" s="81" t="s">
        <v>567</v>
      </c>
      <c r="AK13" s="1"/>
      <c r="AL13" s="76"/>
      <c r="AM13" s="76"/>
      <c r="AN13" s="76"/>
      <c r="AO13" s="76"/>
      <c r="AP13" s="76"/>
      <c r="AQ13" s="76"/>
      <c r="AR13" s="76"/>
      <c r="AS13" s="76"/>
      <c r="AT13" s="76"/>
      <c r="AU13" s="76"/>
      <c r="AV13" s="76"/>
      <c r="AW13" s="76"/>
      <c r="AX13" s="76"/>
      <c r="AY13" s="76"/>
      <c r="AZ13" s="76"/>
      <c r="BA13" s="76"/>
      <c r="BB13" s="76"/>
      <c r="BC13" s="76"/>
      <c r="BD13" s="76"/>
      <c r="BE13" s="76"/>
      <c r="BF13" s="76"/>
    </row>
    <row r="14" spans="1:58">
      <c r="A14" s="103" t="s">
        <v>445</v>
      </c>
      <c r="B14" s="351"/>
      <c r="C14" s="501" t="str">
        <f>IF(B14="","",INDEX(Diary!B:B,MATCH(B14,Diary!C:C,0)))</f>
        <v/>
      </c>
      <c r="D14" s="351"/>
      <c r="E14" s="76"/>
      <c r="F14" s="65">
        <v>13</v>
      </c>
      <c r="G14" s="66" t="s">
        <v>515</v>
      </c>
      <c r="H14" s="58"/>
      <c r="I14" s="84">
        <v>7</v>
      </c>
      <c r="J14" s="71" t="s">
        <v>515</v>
      </c>
      <c r="K14" s="72"/>
      <c r="L14" s="73" t="str">
        <f>IF(K14="","",IF(K14=K15,"R",""))</f>
        <v/>
      </c>
      <c r="M14" s="75" t="e">
        <f>INDEX(Results!T:T,MATCH(J14,Results!V:V,0))</f>
        <v>#VALUE!</v>
      </c>
      <c r="N14" s="58"/>
      <c r="O14" s="84">
        <v>7</v>
      </c>
      <c r="P14" s="576" t="s">
        <v>515</v>
      </c>
      <c r="Q14" s="72">
        <v>-10</v>
      </c>
      <c r="R14" s="81" t="str">
        <f>IF(Q14="","",IF(Q14=Q15,"R",""))</f>
        <v/>
      </c>
      <c r="S14" s="78" t="e">
        <f>INDEX(Results!T:T,MATCH(P14,Results!V:V,0))</f>
        <v>#VALUE!</v>
      </c>
      <c r="T14" s="58"/>
      <c r="U14" s="60">
        <v>7</v>
      </c>
      <c r="V14" s="68" t="str">
        <f>IF(Q26=Q27,"Await earlier tie",IF(Q26&lt;Q27,P27,P26))</f>
        <v>Mark Bunn</v>
      </c>
      <c r="W14" s="72">
        <v>-4.55</v>
      </c>
      <c r="X14" s="81" t="str">
        <f>IF(W14="","",IF(W14=W15,"R",""))</f>
        <v/>
      </c>
      <c r="Y14" s="78">
        <f>INDEX(Results!T:T,MATCH(V14,Results!V:V,0))</f>
        <v>-4.625</v>
      </c>
      <c r="Z14" s="58"/>
      <c r="AA14" s="60">
        <v>7</v>
      </c>
      <c r="AB14" s="68" t="str">
        <f>IF(W26=W27,"Await earlier tie",IF(W26&lt;W27,V27,V26))</f>
        <v>Paul Barnes</v>
      </c>
      <c r="AC14" s="91">
        <v>-0.30499999999999972</v>
      </c>
      <c r="AD14" s="73" t="str">
        <f>IF(AC14="","",IF(AC14=AC15,"R",""))</f>
        <v/>
      </c>
      <c r="AE14" s="78">
        <f>INDEX(Results!T:T,MATCH(AB14,Results!V:V,0))</f>
        <v>7.5</v>
      </c>
      <c r="AF14" s="76"/>
      <c r="AG14" s="63"/>
      <c r="AH14" s="70" t="s">
        <v>300</v>
      </c>
      <c r="AI14" s="72">
        <v>-5.1538461538461533</v>
      </c>
      <c r="AJ14" s="64"/>
      <c r="AK14" s="80"/>
      <c r="AL14" s="76"/>
      <c r="AM14" s="76"/>
      <c r="AN14" s="76"/>
      <c r="AO14" s="76"/>
      <c r="AP14" s="76"/>
      <c r="AQ14" s="76"/>
      <c r="AR14" s="76"/>
      <c r="AS14" s="76"/>
      <c r="AT14" s="76"/>
      <c r="AU14" s="76"/>
      <c r="AV14" s="76"/>
      <c r="AW14" s="76"/>
      <c r="AX14" s="76"/>
      <c r="AY14" s="76"/>
      <c r="AZ14" s="76"/>
      <c r="BA14" s="76"/>
      <c r="BB14" s="76"/>
      <c r="BC14" s="76"/>
      <c r="BD14" s="76"/>
      <c r="BE14" s="76"/>
      <c r="BF14" s="76"/>
    </row>
    <row r="15" spans="1:58">
      <c r="A15" s="103" t="s">
        <v>446</v>
      </c>
      <c r="B15" s="607" t="s">
        <v>559</v>
      </c>
      <c r="C15" s="501">
        <f>IF(B15="","",INDEX(Diary!B:B,MATCH(B15,Diary!C:C,0)))</f>
        <v>45304</v>
      </c>
      <c r="D15" s="351"/>
      <c r="E15" s="76"/>
      <c r="F15" s="65">
        <v>14</v>
      </c>
      <c r="G15" s="66" t="s">
        <v>301</v>
      </c>
      <c r="H15" s="58"/>
      <c r="I15" s="83"/>
      <c r="J15" s="71" t="s">
        <v>301</v>
      </c>
      <c r="K15" s="72"/>
      <c r="L15" s="74"/>
      <c r="M15" s="75">
        <f>INDEX(Results!T:T,MATCH(J15,Results!V:V,0))</f>
        <v>-5.4666666666666668</v>
      </c>
      <c r="N15" s="58"/>
      <c r="O15" s="83"/>
      <c r="P15" s="576" t="s">
        <v>301</v>
      </c>
      <c r="Q15" s="72">
        <v>0.72727272727272751</v>
      </c>
      <c r="R15" s="61"/>
      <c r="S15" s="78">
        <f>INDEX(Results!T:T,MATCH(P15,Results!V:V,0))</f>
        <v>-5.4666666666666668</v>
      </c>
      <c r="T15" s="58"/>
      <c r="U15" s="63"/>
      <c r="V15" s="68" t="str">
        <f>IF(Q28=Q29,"Await earlier tie",IF(Q28&lt;Q29,P29,P28))</f>
        <v>Alfie Davies</v>
      </c>
      <c r="W15" s="72">
        <v>-4.7</v>
      </c>
      <c r="X15" s="64"/>
      <c r="Y15" s="78">
        <f>INDEX(Results!T:T,MATCH(V15,Results!V:V,0))</f>
        <v>-7</v>
      </c>
      <c r="Z15" s="58"/>
      <c r="AA15" s="63"/>
      <c r="AB15" s="68" t="str">
        <f>IF(W28=W29,"Await earlier tie",IF(W28&lt;W29,V29,V28))</f>
        <v>Dave Bell</v>
      </c>
      <c r="AC15" s="91">
        <v>-5.3</v>
      </c>
      <c r="AD15" s="64"/>
      <c r="AE15" s="78">
        <f>INDEX(Results!T:T,MATCH(AB15,Results!V:V,0))</f>
        <v>-7</v>
      </c>
      <c r="AF15" s="76"/>
      <c r="AG15" s="60"/>
      <c r="AH15" s="62"/>
      <c r="AI15" s="72"/>
      <c r="AJ15" s="81" t="str">
        <f>IF(AI15="","",IF(AI15=AI16,"R",""))</f>
        <v/>
      </c>
      <c r="AK15" s="80"/>
      <c r="AL15" s="76"/>
      <c r="AM15" s="76"/>
      <c r="AN15" s="76"/>
      <c r="AO15" s="76"/>
      <c r="AP15" s="76"/>
      <c r="AQ15" s="76"/>
      <c r="AR15" s="76"/>
      <c r="AS15" s="76"/>
      <c r="AT15" s="76"/>
      <c r="AU15" s="76"/>
      <c r="AV15" s="76"/>
      <c r="AW15" s="76"/>
      <c r="AX15" s="76"/>
      <c r="AY15" s="76"/>
      <c r="AZ15" s="76"/>
      <c r="BA15" s="76"/>
      <c r="BB15" s="76"/>
      <c r="BC15" s="76"/>
      <c r="BD15" s="76"/>
      <c r="BE15" s="76"/>
      <c r="BF15" s="76"/>
    </row>
    <row r="16" spans="1:58">
      <c r="A16" s="103" t="s">
        <v>133</v>
      </c>
      <c r="B16" s="607" t="s">
        <v>538</v>
      </c>
      <c r="C16" s="501">
        <f>IF(B16="","",INDEX(Diary!B:B,MATCH(B16,Diary!C:C,0)))</f>
        <v>45339</v>
      </c>
      <c r="D16" s="351"/>
      <c r="E16" s="76"/>
      <c r="F16" s="65">
        <v>15</v>
      </c>
      <c r="G16" s="66" t="s">
        <v>281</v>
      </c>
      <c r="H16" s="58"/>
      <c r="I16" s="84">
        <v>8</v>
      </c>
      <c r="J16" s="71" t="s">
        <v>281</v>
      </c>
      <c r="K16" s="72"/>
      <c r="L16" s="73" t="str">
        <f>IF(K16="","",IF(K16=K17,"R",""))</f>
        <v/>
      </c>
      <c r="M16" s="75" t="e">
        <f>INDEX(Results!T:T,MATCH(J16,Results!V:V,0))</f>
        <v>#VALUE!</v>
      </c>
      <c r="N16" s="58"/>
      <c r="O16" s="84">
        <v>8</v>
      </c>
      <c r="P16" s="576" t="s">
        <v>281</v>
      </c>
      <c r="Q16" s="72">
        <v>-1.5</v>
      </c>
      <c r="R16" s="81" t="str">
        <f>IF(Q16="","",IF(Q16=Q17,"R",""))</f>
        <v/>
      </c>
      <c r="S16" s="78" t="e">
        <f>INDEX(Results!T:T,MATCH(P16,Results!V:V,0))</f>
        <v>#VALUE!</v>
      </c>
      <c r="T16" s="58"/>
      <c r="U16" s="60">
        <v>8</v>
      </c>
      <c r="V16" s="68" t="str">
        <f>IF(Q30=Q31,"Await earlier tie",IF(Q30&lt;Q31,P31,P30))</f>
        <v>Martin Tarbuck</v>
      </c>
      <c r="W16" s="72">
        <v>-5.0909090909090908</v>
      </c>
      <c r="X16" s="81" t="str">
        <f>IF(W16="","",IF(W16=W17,"R",""))</f>
        <v/>
      </c>
      <c r="Y16" s="78">
        <f>INDEX(Results!T:T,MATCH(V16,Results!V:V,0))</f>
        <v>12.139999999999997</v>
      </c>
      <c r="Z16" s="58"/>
      <c r="AA16" s="60">
        <v>8</v>
      </c>
      <c r="AB16" s="68" t="str">
        <f>IF(W30=W31,"Await earlier tie",IF(W30&lt;W31,V31,V30))</f>
        <v>Frank Allen</v>
      </c>
      <c r="AC16" s="91">
        <v>-10</v>
      </c>
      <c r="AD16" s="73" t="str">
        <f>IF(AC16="","",IF(AC16=AC17,"R",""))</f>
        <v/>
      </c>
      <c r="AE16" s="78">
        <f>INDEX(Results!T:T,MATCH(AB16,Results!V:V,0))</f>
        <v>-4.8499999999999996</v>
      </c>
      <c r="AF16" s="76"/>
      <c r="AG16" s="67"/>
      <c r="AH16" s="62"/>
      <c r="AI16" s="72"/>
      <c r="AJ16" s="61"/>
      <c r="AK16" s="80"/>
      <c r="AL16" s="76"/>
      <c r="AM16" s="76"/>
      <c r="AN16" s="76"/>
      <c r="AO16" s="76"/>
      <c r="AP16" s="76"/>
      <c r="AQ16" s="76"/>
      <c r="AR16" s="76"/>
      <c r="AS16" s="76"/>
      <c r="AT16" s="76"/>
      <c r="AU16" s="76"/>
      <c r="AV16" s="76"/>
      <c r="AW16" s="76"/>
      <c r="AX16" s="76"/>
      <c r="AY16" s="76"/>
      <c r="AZ16" s="76"/>
      <c r="BA16" s="76"/>
      <c r="BB16" s="76"/>
      <c r="BC16" s="76"/>
      <c r="BD16" s="76"/>
      <c r="BE16" s="76"/>
      <c r="BF16" s="76"/>
    </row>
    <row r="17" spans="1:58">
      <c r="A17" s="103" t="s">
        <v>447</v>
      </c>
      <c r="B17" s="607" t="s">
        <v>541</v>
      </c>
      <c r="C17" s="501">
        <f>IF(B17="","",INDEX(Diary!B:B,MATCH(B17,Diary!C:C,0)))</f>
        <v>45360</v>
      </c>
      <c r="D17" s="351"/>
      <c r="E17" s="76"/>
      <c r="F17" s="65">
        <v>16</v>
      </c>
      <c r="G17" s="66" t="s">
        <v>358</v>
      </c>
      <c r="H17" s="58"/>
      <c r="I17" s="83"/>
      <c r="J17" s="71" t="s">
        <v>358</v>
      </c>
      <c r="K17" s="72"/>
      <c r="L17" s="74"/>
      <c r="M17" s="75">
        <f>INDEX(Results!T:T,MATCH(J17,Results!V:V,0))</f>
        <v>-7</v>
      </c>
      <c r="N17" s="58"/>
      <c r="O17" s="83"/>
      <c r="P17" s="576" t="s">
        <v>358</v>
      </c>
      <c r="Q17" s="72">
        <v>-7</v>
      </c>
      <c r="R17" s="61"/>
      <c r="S17" s="78">
        <f>INDEX(Results!T:T,MATCH(P17,Results!V:V,0))</f>
        <v>-7</v>
      </c>
      <c r="T17" s="58"/>
      <c r="U17" s="63"/>
      <c r="V17" s="68" t="str">
        <f>IF(Q32=Q33,"Await earlier tie",IF(Q32&lt;Q33,P33,P32))</f>
        <v>Alan White</v>
      </c>
      <c r="W17" s="72">
        <v>-5.15</v>
      </c>
      <c r="X17" s="64"/>
      <c r="Y17" s="78">
        <f>INDEX(Results!T:T,MATCH(V17,Results!V:V,0))</f>
        <v>-4.9000000000000004</v>
      </c>
      <c r="Z17" s="58"/>
      <c r="AA17" s="67"/>
      <c r="AB17" s="68" t="str">
        <f>IF(W32=W33,"Await earlier tie",IF(W32&lt;W33,V33,V32))</f>
        <v>Mike Penk</v>
      </c>
      <c r="AC17" s="91">
        <v>-0.90666666666666718</v>
      </c>
      <c r="AD17" s="61"/>
      <c r="AE17" s="78">
        <f>INDEX(Results!T:T,MATCH(AB17,Results!V:V,0))</f>
        <v>2.125</v>
      </c>
      <c r="AF17" s="76"/>
      <c r="AG17" s="60"/>
      <c r="AH17" s="70"/>
      <c r="AI17" s="72"/>
      <c r="AJ17" s="81" t="str">
        <f>IF(AI17="","",IF(AI17=AI18,"R",""))</f>
        <v/>
      </c>
      <c r="AK17" s="80"/>
      <c r="AL17" s="76"/>
      <c r="AM17" s="76"/>
      <c r="AN17" s="76"/>
      <c r="AO17" s="76"/>
      <c r="AP17" s="76"/>
      <c r="AQ17" s="76"/>
      <c r="AR17" s="76"/>
      <c r="AS17" s="76"/>
      <c r="AT17" s="76"/>
      <c r="AU17" s="76"/>
      <c r="AV17" s="76"/>
      <c r="AW17" s="76"/>
      <c r="AX17" s="76"/>
      <c r="AY17" s="76"/>
      <c r="AZ17" s="76"/>
      <c r="BA17" s="76"/>
      <c r="BB17" s="76"/>
      <c r="BC17" s="76"/>
      <c r="BD17" s="76"/>
      <c r="BE17" s="76"/>
      <c r="BF17" s="76"/>
    </row>
    <row r="18" spans="1:58">
      <c r="A18" s="103" t="s">
        <v>448</v>
      </c>
      <c r="B18" s="607" t="s">
        <v>544</v>
      </c>
      <c r="C18" s="501">
        <f>IF(B18="","",INDEX(Diary!B:B,MATCH(B18,Diary!C:C,0)))</f>
        <v>45374</v>
      </c>
      <c r="D18" s="351"/>
      <c r="E18" s="76"/>
      <c r="F18" s="65">
        <v>17</v>
      </c>
      <c r="G18" s="66" t="s">
        <v>282</v>
      </c>
      <c r="H18" s="58"/>
      <c r="I18" s="84">
        <v>9</v>
      </c>
      <c r="J18" s="71" t="s">
        <v>282</v>
      </c>
      <c r="K18" s="72"/>
      <c r="L18" s="73" t="str">
        <f>IF(K18="","",IF(K18=K19,"R",""))</f>
        <v/>
      </c>
      <c r="M18" s="75">
        <f>INDEX(Results!T:T,MATCH(J18,Results!V:V,0))</f>
        <v>-5.5</v>
      </c>
      <c r="N18" s="58"/>
      <c r="O18" s="84">
        <v>9</v>
      </c>
      <c r="P18" s="576" t="s">
        <v>282</v>
      </c>
      <c r="Q18" s="72">
        <v>1.9090909090909101</v>
      </c>
      <c r="R18" s="81" t="str">
        <f>IF(Q18="","",IF(Q18=Q19,"R",""))</f>
        <v/>
      </c>
      <c r="S18" s="78">
        <f>INDEX(Results!T:T,MATCH(P18,Results!V:V,0))</f>
        <v>-5.5</v>
      </c>
      <c r="T18" s="58"/>
      <c r="U18" s="60">
        <v>9</v>
      </c>
      <c r="V18" s="68" t="str">
        <f>IF(Q34=Q35,"Await earlier tie",IF(Q34&lt;Q35,P35,P34))</f>
        <v>John Murphy</v>
      </c>
      <c r="W18" s="72">
        <v>-10</v>
      </c>
      <c r="X18" s="81" t="str">
        <f>IF(W18="","",IF(W18=W19,"R",""))</f>
        <v/>
      </c>
      <c r="Y18" s="78" t="e">
        <f>INDEX(Results!T:T,MATCH(V18,Results!V:V,0))</f>
        <v>#VALUE!</v>
      </c>
      <c r="Z18" s="58"/>
      <c r="AA18" s="58"/>
      <c r="AB18" s="58"/>
      <c r="AC18" s="58"/>
      <c r="AD18" s="58"/>
      <c r="AE18" s="80"/>
      <c r="AF18" s="76"/>
      <c r="AG18" s="63"/>
      <c r="AH18" s="70"/>
      <c r="AI18" s="72"/>
      <c r="AJ18" s="64"/>
      <c r="AK18" s="80"/>
      <c r="AL18" s="76"/>
      <c r="AM18" s="76"/>
      <c r="AN18" s="76"/>
      <c r="AO18" s="76"/>
      <c r="AP18" s="76"/>
      <c r="AQ18" s="76"/>
      <c r="AR18" s="76"/>
      <c r="AS18" s="76"/>
      <c r="AT18" s="76"/>
      <c r="AU18" s="76"/>
      <c r="AV18" s="76"/>
      <c r="AW18" s="76"/>
      <c r="AX18" s="76"/>
      <c r="AY18" s="76"/>
      <c r="AZ18" s="76"/>
      <c r="BA18" s="76"/>
      <c r="BB18" s="76"/>
      <c r="BC18" s="76"/>
      <c r="BD18" s="76"/>
      <c r="BE18" s="76"/>
      <c r="BF18" s="76"/>
    </row>
    <row r="19" spans="1:58">
      <c r="A19" s="103" t="s">
        <v>139</v>
      </c>
      <c r="B19" s="607" t="s">
        <v>546</v>
      </c>
      <c r="C19" s="501">
        <f>IF(B19="","",INDEX(Diary!B:B,MATCH(B19,Diary!C:C,0)))</f>
        <v>45388</v>
      </c>
      <c r="D19" s="351"/>
      <c r="E19" s="76"/>
      <c r="F19" s="65">
        <v>18</v>
      </c>
      <c r="G19" s="66" t="s">
        <v>299</v>
      </c>
      <c r="H19" s="58"/>
      <c r="I19" s="83"/>
      <c r="J19" s="71" t="s">
        <v>299</v>
      </c>
      <c r="K19" s="72"/>
      <c r="L19" s="74"/>
      <c r="M19" s="75">
        <f>INDEX(Results!T:T,MATCH(J19,Results!V:V,0))</f>
        <v>-4.8499999999999996</v>
      </c>
      <c r="N19" s="58"/>
      <c r="O19" s="83"/>
      <c r="P19" s="576" t="s">
        <v>299</v>
      </c>
      <c r="Q19" s="72">
        <v>-3</v>
      </c>
      <c r="R19" s="61"/>
      <c r="S19" s="78">
        <f>INDEX(Results!T:T,MATCH(P19,Results!V:V,0))</f>
        <v>-4.8499999999999996</v>
      </c>
      <c r="T19" s="58"/>
      <c r="U19" s="63"/>
      <c r="V19" s="68" t="str">
        <f>IF(Q36=Q37,"Await earlier tie",IF(Q36&lt;Q37,P37,P36))</f>
        <v>Howard Bradley</v>
      </c>
      <c r="W19" s="72">
        <v>-5.4285714285714288</v>
      </c>
      <c r="X19" s="64"/>
      <c r="Y19" s="78">
        <f>INDEX(Results!T:T,MATCH(V19,Results!V:V,0))</f>
        <v>-5</v>
      </c>
      <c r="Z19" s="58"/>
      <c r="AA19" s="58"/>
      <c r="AB19" s="58"/>
      <c r="AC19" s="58"/>
      <c r="AD19" s="58"/>
      <c r="AE19" s="80"/>
      <c r="AF19" s="76"/>
      <c r="AG19" s="60"/>
      <c r="AH19" s="62"/>
      <c r="AI19" s="72"/>
      <c r="AJ19" s="81" t="str">
        <f>IF(AI19="","",IF(AI19=AI20,"R",""))</f>
        <v/>
      </c>
      <c r="AK19" s="80"/>
      <c r="AL19" s="76"/>
      <c r="AM19" s="76"/>
      <c r="AN19" s="76"/>
      <c r="AO19" s="76"/>
      <c r="AP19" s="76"/>
      <c r="AQ19" s="76"/>
      <c r="AR19" s="76"/>
      <c r="AS19" s="76"/>
      <c r="AT19" s="76"/>
      <c r="AU19" s="76"/>
      <c r="AV19" s="76"/>
      <c r="AW19" s="76"/>
      <c r="AX19" s="76"/>
      <c r="AY19" s="76"/>
      <c r="AZ19" s="76"/>
      <c r="BA19" s="76"/>
      <c r="BB19" s="76"/>
      <c r="BC19" s="76"/>
      <c r="BD19" s="76"/>
      <c r="BE19" s="76"/>
      <c r="BF19" s="76"/>
    </row>
    <row r="20" spans="1:58">
      <c r="A20" s="103" t="s">
        <v>18</v>
      </c>
      <c r="B20" s="607" t="s">
        <v>548</v>
      </c>
      <c r="C20" s="501">
        <f>IF(B20="","",INDEX(Diary!B:B,MATCH(B20,Diary!C:C,0)))</f>
        <v>45402</v>
      </c>
      <c r="D20" s="351"/>
      <c r="E20" s="76"/>
      <c r="F20" s="65">
        <v>19</v>
      </c>
      <c r="G20" s="66" t="s">
        <v>298</v>
      </c>
      <c r="H20" s="58"/>
      <c r="I20" s="84">
        <v>10</v>
      </c>
      <c r="J20" s="71" t="s">
        <v>298</v>
      </c>
      <c r="K20" s="72"/>
      <c r="L20" s="73" t="str">
        <f>IF(K20="","",IF(K20=K21,"R",""))</f>
        <v/>
      </c>
      <c r="M20" s="75">
        <f>INDEX(Results!T:T,MATCH(J20,Results!V:V,0))</f>
        <v>0.54999999999999982</v>
      </c>
      <c r="N20" s="58"/>
      <c r="O20" s="84">
        <v>10</v>
      </c>
      <c r="P20" s="576" t="s">
        <v>298</v>
      </c>
      <c r="Q20" s="72">
        <v>2.8727272727272748</v>
      </c>
      <c r="R20" s="81" t="str">
        <f>IF(Q20="","",IF(Q20=Q21,"R",""))</f>
        <v/>
      </c>
      <c r="S20" s="78">
        <f>INDEX(Results!T:T,MATCH(P20,Results!V:V,0))</f>
        <v>0.54999999999999982</v>
      </c>
      <c r="T20" s="58"/>
      <c r="U20" s="60">
        <v>10</v>
      </c>
      <c r="V20" s="68" t="str">
        <f>IF(Q38=Q39,"Await earlier tie",IF(Q38&lt;Q39,P39,P38))</f>
        <v>Gerard Ventom</v>
      </c>
      <c r="W20" s="72">
        <v>6.08</v>
      </c>
      <c r="X20" s="81" t="str">
        <f>IF(W20="","",IF(W20=W21,"R",""))</f>
        <v/>
      </c>
      <c r="Y20" s="78">
        <f>INDEX(Results!T:T,MATCH(V20,Results!V:V,0))</f>
        <v>62.2</v>
      </c>
      <c r="Z20" s="58"/>
      <c r="AA20" s="58"/>
      <c r="AB20" s="58"/>
      <c r="AC20" s="58"/>
      <c r="AD20" s="58"/>
      <c r="AE20" s="80"/>
      <c r="AF20" s="76"/>
      <c r="AG20" s="67"/>
      <c r="AH20" s="62"/>
      <c r="AI20" s="72"/>
      <c r="AJ20" s="61"/>
      <c r="AK20" s="80"/>
      <c r="AL20" s="76"/>
      <c r="AM20" s="76"/>
      <c r="AN20" s="76"/>
      <c r="AO20" s="76"/>
      <c r="AP20" s="76"/>
      <c r="AQ20" s="76"/>
      <c r="AR20" s="76"/>
      <c r="AS20" s="76"/>
      <c r="AT20" s="76"/>
      <c r="AU20" s="76"/>
      <c r="AV20" s="76"/>
      <c r="AW20" s="76"/>
      <c r="AX20" s="76"/>
      <c r="AY20" s="76"/>
      <c r="AZ20" s="76"/>
      <c r="BA20" s="76"/>
      <c r="BB20" s="76"/>
      <c r="BC20" s="76"/>
      <c r="BD20" s="76"/>
      <c r="BE20" s="76"/>
      <c r="BF20" s="76"/>
    </row>
    <row r="21" spans="1:58">
      <c r="A21" s="76"/>
      <c r="B21" s="76"/>
      <c r="C21" s="77"/>
      <c r="D21" s="77"/>
      <c r="E21" s="76"/>
      <c r="F21" s="65">
        <v>20</v>
      </c>
      <c r="G21" s="66" t="s">
        <v>360</v>
      </c>
      <c r="H21" s="58"/>
      <c r="I21" s="83"/>
      <c r="J21" s="71" t="s">
        <v>360</v>
      </c>
      <c r="K21" s="72"/>
      <c r="L21" s="74"/>
      <c r="M21" s="75">
        <f>INDEX(Results!T:T,MATCH(J21,Results!V:V,0))</f>
        <v>-7</v>
      </c>
      <c r="N21" s="58"/>
      <c r="O21" s="83"/>
      <c r="P21" s="576" t="s">
        <v>360</v>
      </c>
      <c r="Q21" s="72">
        <v>16.326999999999998</v>
      </c>
      <c r="R21" s="61"/>
      <c r="S21" s="78">
        <f>INDEX(Results!T:T,MATCH(P21,Results!V:V,0))</f>
        <v>-7</v>
      </c>
      <c r="T21" s="58"/>
      <c r="U21" s="63"/>
      <c r="V21" s="68" t="str">
        <f>IF(Q40=Q41,"Await earlier tie",IF(Q40&lt;Q41,P41,P40))</f>
        <v>Mark Saunders</v>
      </c>
      <c r="W21" s="72">
        <v>-2.25</v>
      </c>
      <c r="X21" s="64"/>
      <c r="Y21" s="78">
        <f>INDEX(Results!T:T,MATCH(V21,Results!V:V,0))</f>
        <v>-4.7</v>
      </c>
      <c r="Z21" s="58"/>
      <c r="AA21" s="59" t="s">
        <v>511</v>
      </c>
      <c r="AB21" s="58"/>
      <c r="AC21" s="58"/>
      <c r="AD21" s="58"/>
      <c r="AE21" s="80"/>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1:58">
      <c r="A22" s="76"/>
      <c r="B22" s="76"/>
      <c r="C22" s="77"/>
      <c r="D22" s="77"/>
      <c r="E22" s="76"/>
      <c r="F22" s="65">
        <v>21</v>
      </c>
      <c r="G22" s="66" t="s">
        <v>364</v>
      </c>
      <c r="H22" s="58"/>
      <c r="I22" s="84">
        <v>11</v>
      </c>
      <c r="J22" s="71" t="s">
        <v>364</v>
      </c>
      <c r="K22" s="72"/>
      <c r="L22" s="73" t="str">
        <f>IF(K22="","",IF(K22=K23,"R",""))</f>
        <v/>
      </c>
      <c r="M22" s="75" t="e">
        <f>INDEX(Results!T:T,MATCH(J22,Results!V:V,0))</f>
        <v>#VALUE!</v>
      </c>
      <c r="N22" s="58"/>
      <c r="O22" s="84">
        <v>11</v>
      </c>
      <c r="P22" s="576" t="s">
        <v>364</v>
      </c>
      <c r="Q22" s="72">
        <v>3.9700000000000024</v>
      </c>
      <c r="R22" s="81" t="str">
        <f>IF(Q22="","",IF(Q22=Q23,"R",""))</f>
        <v/>
      </c>
      <c r="S22" s="78" t="e">
        <f>INDEX(Results!T:T,MATCH(P22,Results!V:V,0))</f>
        <v>#VALUE!</v>
      </c>
      <c r="T22" s="58"/>
      <c r="U22" s="60">
        <v>11</v>
      </c>
      <c r="V22" s="68" t="str">
        <f>IF(Q42=Q43,"Await earlier tie",IF(Q42&lt;Q43,P43,P42))</f>
        <v>Dave Orrell</v>
      </c>
      <c r="W22" s="72">
        <v>3.2850000000000001</v>
      </c>
      <c r="X22" s="81" t="str">
        <f>IF(W22="","",IF(W22=W23,"R",""))</f>
        <v/>
      </c>
      <c r="Y22" s="78" t="e">
        <f>INDEX(Results!T:T,MATCH(V22,Results!V:V,0))</f>
        <v>#VALUE!</v>
      </c>
      <c r="Z22" s="58"/>
      <c r="AA22" s="60"/>
      <c r="AB22" s="70" t="s">
        <v>300</v>
      </c>
      <c r="AC22" s="72">
        <v>-7</v>
      </c>
      <c r="AD22" s="81"/>
      <c r="AE22" s="80"/>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1:58">
      <c r="A23" s="76"/>
      <c r="B23" s="76"/>
      <c r="C23" s="77"/>
      <c r="D23" s="77"/>
      <c r="E23" s="76"/>
      <c r="F23" s="65">
        <v>22</v>
      </c>
      <c r="G23" s="66" t="s">
        <v>507</v>
      </c>
      <c r="H23" s="58"/>
      <c r="I23" s="83"/>
      <c r="J23" s="71" t="s">
        <v>507</v>
      </c>
      <c r="K23" s="72"/>
      <c r="L23" s="74"/>
      <c r="M23" s="75" t="e">
        <f>INDEX(Results!T:T,MATCH(J23,Results!V:V,0))</f>
        <v>#VALUE!</v>
      </c>
      <c r="N23" s="58"/>
      <c r="O23" s="83"/>
      <c r="P23" s="576" t="s">
        <v>507</v>
      </c>
      <c r="Q23" s="72">
        <v>-10</v>
      </c>
      <c r="R23" s="61"/>
      <c r="S23" s="78" t="e">
        <f>INDEX(Results!T:T,MATCH(P23,Results!V:V,0))</f>
        <v>#VALUE!</v>
      </c>
      <c r="T23" s="58"/>
      <c r="U23" s="63"/>
      <c r="V23" s="68" t="str">
        <f>IF(Q44=Q45,"Await earlier tie",IF(Q44&lt;Q45,P45,P44))</f>
        <v>Jack Walsh</v>
      </c>
      <c r="W23" s="72">
        <v>-5.0909090909090908</v>
      </c>
      <c r="X23" s="64"/>
      <c r="Y23" s="78">
        <f>INDEX(Results!T:T,MATCH(V23,Results!V:V,0))</f>
        <v>-0.52666666666666728</v>
      </c>
      <c r="Z23" s="58"/>
      <c r="AA23" s="63"/>
      <c r="AB23" s="70" t="s">
        <v>281</v>
      </c>
      <c r="AC23" s="72">
        <v>-7</v>
      </c>
      <c r="AD23" s="64"/>
      <c r="AE23" s="80"/>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1:58">
      <c r="A24" s="76"/>
      <c r="B24" s="76"/>
      <c r="C24" s="77"/>
      <c r="D24" s="77"/>
      <c r="E24" s="76"/>
      <c r="F24" s="65">
        <v>23</v>
      </c>
      <c r="G24" s="66" t="s">
        <v>527</v>
      </c>
      <c r="H24" s="58"/>
      <c r="I24" s="84">
        <v>12</v>
      </c>
      <c r="J24" s="71" t="s">
        <v>527</v>
      </c>
      <c r="K24" s="72"/>
      <c r="L24" s="73" t="str">
        <f>IF(K24="","",IF(K24=K25,"R",""))</f>
        <v/>
      </c>
      <c r="M24" s="75">
        <f>INDEX(Results!T:T,MATCH(J24,Results!V:V,0))</f>
        <v>-7</v>
      </c>
      <c r="N24" s="58"/>
      <c r="O24" s="84">
        <v>12</v>
      </c>
      <c r="P24" s="576" t="s">
        <v>527</v>
      </c>
      <c r="Q24" s="72">
        <v>-7</v>
      </c>
      <c r="R24" s="81" t="str">
        <f>IF(Q24="","",IF(Q24=Q25,"R",""))</f>
        <v/>
      </c>
      <c r="S24" s="78">
        <f>INDEX(Results!T:T,MATCH(P24,Results!V:V,0))</f>
        <v>-7</v>
      </c>
      <c r="T24" s="58"/>
      <c r="U24" s="60">
        <v>12</v>
      </c>
      <c r="V24" s="68" t="str">
        <f>IF(Q46=Q47,"Await earlier tie",IF(Q46&lt;Q47,P47,P46))</f>
        <v>Gareth Powell</v>
      </c>
      <c r="W24" s="72">
        <v>-4.8</v>
      </c>
      <c r="X24" s="81" t="str">
        <f>IF(W24="","",IF(W24=W25,"R",""))</f>
        <v/>
      </c>
      <c r="Y24" s="78">
        <f>INDEX(Results!T:T,MATCH(V24,Results!V:V,0))</f>
        <v>14</v>
      </c>
      <c r="Z24" s="58"/>
      <c r="AA24" s="60"/>
      <c r="AB24" s="62"/>
      <c r="AC24" s="72"/>
      <c r="AD24" s="81"/>
      <c r="AE24" s="80"/>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1:58">
      <c r="A25" s="76"/>
      <c r="B25" s="76"/>
      <c r="C25" s="77"/>
      <c r="D25" s="77"/>
      <c r="E25" s="76"/>
      <c r="F25" s="65">
        <v>24</v>
      </c>
      <c r="G25" s="66" t="s">
        <v>306</v>
      </c>
      <c r="H25" s="58"/>
      <c r="I25" s="83"/>
      <c r="J25" s="71" t="s">
        <v>306</v>
      </c>
      <c r="K25" s="72"/>
      <c r="L25" s="74"/>
      <c r="M25" s="75">
        <f>INDEX(Results!T:T,MATCH(J25,Results!V:V,0))</f>
        <v>-4.9000000000000004</v>
      </c>
      <c r="N25" s="58"/>
      <c r="O25" s="83"/>
      <c r="P25" s="576" t="s">
        <v>306</v>
      </c>
      <c r="Q25" s="72">
        <v>-4.95</v>
      </c>
      <c r="R25" s="61"/>
      <c r="S25" s="78">
        <f>INDEX(Results!T:T,MATCH(P25,Results!V:V,0))</f>
        <v>-4.9000000000000004</v>
      </c>
      <c r="T25" s="58"/>
      <c r="U25" s="63"/>
      <c r="V25" s="68" t="str">
        <f>IF(Q48=Q49,"Await earlier tie",IF(Q48&lt;Q49,P49,P48))</f>
        <v>Graham Miller</v>
      </c>
      <c r="W25" s="72">
        <v>-5.2</v>
      </c>
      <c r="X25" s="64"/>
      <c r="Y25" s="78">
        <f>INDEX(Results!T:T,MATCH(V25,Results!V:V,0))</f>
        <v>0.83500000000000085</v>
      </c>
      <c r="Z25" s="58"/>
      <c r="AA25" s="67"/>
      <c r="AB25" s="62"/>
      <c r="AC25" s="72"/>
      <c r="AD25" s="61"/>
      <c r="AE25" s="80"/>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1:58">
      <c r="A26" s="76"/>
      <c r="B26" s="76"/>
      <c r="C26" s="77"/>
      <c r="D26" s="77"/>
      <c r="E26" s="76"/>
      <c r="F26" s="65">
        <v>25</v>
      </c>
      <c r="G26" s="66" t="s">
        <v>305</v>
      </c>
      <c r="H26" s="58"/>
      <c r="I26" s="84">
        <v>13</v>
      </c>
      <c r="J26" s="71" t="s">
        <v>305</v>
      </c>
      <c r="K26" s="72"/>
      <c r="L26" s="73" t="str">
        <f>IF(K26="","",IF(K26=K27,"R",""))</f>
        <v/>
      </c>
      <c r="M26" s="75">
        <f>INDEX(Results!T:T,MATCH(J26,Results!V:V,0))</f>
        <v>-5</v>
      </c>
      <c r="N26" s="58"/>
      <c r="O26" s="84">
        <v>13</v>
      </c>
      <c r="P26" s="576" t="s">
        <v>305</v>
      </c>
      <c r="Q26" s="72">
        <v>-3.75</v>
      </c>
      <c r="R26" s="81" t="str">
        <f>IF(Q26="","",IF(Q26=Q27,"R",""))</f>
        <v/>
      </c>
      <c r="S26" s="78">
        <f>INDEX(Results!T:T,MATCH(P26,Results!V:V,0))</f>
        <v>-5</v>
      </c>
      <c r="T26" s="58"/>
      <c r="U26" s="60">
        <v>13</v>
      </c>
      <c r="V26" s="68" t="str">
        <f>IF(Q50=Q51,"Await earlier tie",IF(Q50&lt;Q51,P51,P50))</f>
        <v>Paul Barnes</v>
      </c>
      <c r="W26" s="72">
        <v>9.875</v>
      </c>
      <c r="X26" s="81" t="str">
        <f>IF(W26="","",IF(W26=W27,"R",""))</f>
        <v/>
      </c>
      <c r="Y26" s="78">
        <f>INDEX(Results!T:T,MATCH(V26,Results!V:V,0))</f>
        <v>7.5</v>
      </c>
      <c r="Z26" s="58"/>
      <c r="AA26" s="60"/>
      <c r="AB26" s="70"/>
      <c r="AC26" s="72"/>
      <c r="AD26" s="81" t="str">
        <f>IF(AC26="","",IF(AC26=AC27,"R",""))</f>
        <v/>
      </c>
      <c r="AE26" s="80"/>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1:58">
      <c r="A27" s="76"/>
      <c r="B27" s="76"/>
      <c r="C27" s="77"/>
      <c r="D27" s="77"/>
      <c r="E27" s="76"/>
      <c r="F27" s="65">
        <v>26</v>
      </c>
      <c r="G27" s="66" t="s">
        <v>283</v>
      </c>
      <c r="H27" s="58"/>
      <c r="I27" s="83"/>
      <c r="J27" s="71" t="s">
        <v>283</v>
      </c>
      <c r="K27" s="72"/>
      <c r="L27" s="74"/>
      <c r="M27" s="75">
        <f>INDEX(Results!T:T,MATCH(J27,Results!V:V,0))</f>
        <v>-4.625</v>
      </c>
      <c r="N27" s="58"/>
      <c r="O27" s="83"/>
      <c r="P27" s="576" t="s">
        <v>283</v>
      </c>
      <c r="Q27" s="72">
        <v>5.1750000000000007</v>
      </c>
      <c r="R27" s="61"/>
      <c r="S27" s="78">
        <f>INDEX(Results!T:T,MATCH(P27,Results!V:V,0))</f>
        <v>-4.625</v>
      </c>
      <c r="T27" s="58"/>
      <c r="U27" s="63"/>
      <c r="V27" s="68" t="str">
        <f>IF(Q52=Q53,"Await earlier tie",IF(Q52&lt;Q53,P53,P52))</f>
        <v>Alick Rocca</v>
      </c>
      <c r="W27" s="72">
        <v>-7</v>
      </c>
      <c r="X27" s="64"/>
      <c r="Y27" s="78">
        <f>INDEX(Results!T:T,MATCH(V27,Results!V:V,0))</f>
        <v>-5.35</v>
      </c>
      <c r="Z27" s="58"/>
      <c r="AA27" s="63"/>
      <c r="AB27" s="70"/>
      <c r="AC27" s="72"/>
      <c r="AD27" s="64"/>
      <c r="AE27" s="80"/>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1:58">
      <c r="A28" s="76"/>
      <c r="B28" s="76"/>
      <c r="C28" s="77"/>
      <c r="D28" s="77"/>
      <c r="E28" s="76"/>
      <c r="F28" s="65">
        <v>27</v>
      </c>
      <c r="G28" s="66" t="s">
        <v>279</v>
      </c>
      <c r="H28" s="58"/>
      <c r="I28" s="84">
        <v>14</v>
      </c>
      <c r="J28" s="71" t="s">
        <v>279</v>
      </c>
      <c r="K28" s="72"/>
      <c r="L28" s="73" t="str">
        <f>IF(K28="","",IF(K28=K29,"R",""))</f>
        <v/>
      </c>
      <c r="M28" s="75">
        <f>INDEX(Results!T:T,MATCH(J28,Results!V:V,0))</f>
        <v>0.83500000000000085</v>
      </c>
      <c r="N28" s="58"/>
      <c r="O28" s="84">
        <v>14</v>
      </c>
      <c r="P28" s="576" t="s">
        <v>279</v>
      </c>
      <c r="Q28" s="72">
        <v>-7</v>
      </c>
      <c r="R28" s="81" t="str">
        <f>IF(Q28="","",IF(Q28=Q29,"R",""))</f>
        <v/>
      </c>
      <c r="S28" s="78">
        <f>INDEX(Results!T:T,MATCH(P28,Results!V:V,0))</f>
        <v>0.83500000000000085</v>
      </c>
      <c r="T28" s="58"/>
      <c r="U28" s="60">
        <v>14</v>
      </c>
      <c r="V28" s="68" t="str">
        <f>IF(Q54=Q55,"Await earlier tie",IF(Q54&lt;Q55,P55,P54))</f>
        <v>Dave Bell</v>
      </c>
      <c r="W28" s="72">
        <v>-4.8</v>
      </c>
      <c r="X28" s="81" t="str">
        <f>IF(W28="","",IF(W28=W29,"R",""))</f>
        <v/>
      </c>
      <c r="Y28" s="78">
        <f>INDEX(Results!T:T,MATCH(V28,Results!V:V,0))</f>
        <v>-7</v>
      </c>
      <c r="Z28" s="58"/>
      <c r="AA28" s="60"/>
      <c r="AB28" s="62"/>
      <c r="AC28" s="72"/>
      <c r="AD28" s="81" t="str">
        <f>IF(AC28="","",IF(AC28=AC29,"R",""))</f>
        <v/>
      </c>
      <c r="AE28" s="80"/>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1:58">
      <c r="A29" s="76"/>
      <c r="B29" s="76"/>
      <c r="C29" s="77"/>
      <c r="D29" s="77"/>
      <c r="E29" s="76"/>
      <c r="F29" s="65">
        <v>28</v>
      </c>
      <c r="G29" s="66" t="s">
        <v>366</v>
      </c>
      <c r="H29" s="58"/>
      <c r="I29" s="83"/>
      <c r="J29" s="71" t="s">
        <v>366</v>
      </c>
      <c r="K29" s="72"/>
      <c r="L29" s="74"/>
      <c r="M29" s="75">
        <f>INDEX(Results!T:T,MATCH(J29,Results!V:V,0))</f>
        <v>-7</v>
      </c>
      <c r="N29" s="58"/>
      <c r="O29" s="83"/>
      <c r="P29" s="576" t="s">
        <v>366</v>
      </c>
      <c r="Q29" s="72">
        <v>-4.625</v>
      </c>
      <c r="R29" s="61"/>
      <c r="S29" s="78">
        <f>INDEX(Results!T:T,MATCH(P29,Results!V:V,0))</f>
        <v>-7</v>
      </c>
      <c r="T29" s="58"/>
      <c r="U29" s="63"/>
      <c r="V29" s="68" t="str">
        <f>IF(Q56=Q57,"Await earlier tie",IF(Q56&lt;Q57,P57,P56))</f>
        <v>Chris Townsend</v>
      </c>
      <c r="W29" s="72">
        <v>-7</v>
      </c>
      <c r="X29" s="64"/>
      <c r="Y29" s="78">
        <f>INDEX(Results!T:T,MATCH(V29,Results!V:V,0))</f>
        <v>-7</v>
      </c>
      <c r="Z29" s="58"/>
      <c r="AA29" s="67"/>
      <c r="AB29" s="62"/>
      <c r="AC29" s="72"/>
      <c r="AD29" s="61"/>
      <c r="AE29" s="80"/>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1:58">
      <c r="A30" s="76"/>
      <c r="B30" s="76"/>
      <c r="C30" s="77"/>
      <c r="D30" s="77"/>
      <c r="E30" s="76"/>
      <c r="F30" s="65">
        <v>29</v>
      </c>
      <c r="G30" s="66" t="s">
        <v>365</v>
      </c>
      <c r="H30" s="58"/>
      <c r="I30" s="84">
        <v>15</v>
      </c>
      <c r="J30" s="71" t="s">
        <v>365</v>
      </c>
      <c r="K30" s="72"/>
      <c r="L30" s="73" t="str">
        <f>IF(K30="","",IF(K30=K31,"R",""))</f>
        <v/>
      </c>
      <c r="M30" s="75">
        <f>INDEX(Results!T:T,MATCH(J30,Results!V:V,0))</f>
        <v>12.139999999999997</v>
      </c>
      <c r="N30" s="58"/>
      <c r="O30" s="84">
        <v>15</v>
      </c>
      <c r="P30" s="576" t="s">
        <v>365</v>
      </c>
      <c r="Q30" s="72">
        <v>-5.6363636363636367</v>
      </c>
      <c r="R30" s="81" t="str">
        <f>IF(Q30="","",IF(Q30=Q31,"R",""))</f>
        <v/>
      </c>
      <c r="S30" s="78">
        <f>INDEX(Results!T:T,MATCH(P30,Results!V:V,0))</f>
        <v>12.139999999999997</v>
      </c>
      <c r="T30" s="58"/>
      <c r="U30" s="60">
        <v>15</v>
      </c>
      <c r="V30" s="68" t="str">
        <f>IF(Q58=Q59,"Await earlier tie",IF(Q58&lt;Q59,P59,P58))</f>
        <v>Dan Gibbard</v>
      </c>
      <c r="W30" s="72">
        <v>-10</v>
      </c>
      <c r="X30" s="81" t="str">
        <f>IF(W30="","",IF(W30=W31,"R",""))</f>
        <v/>
      </c>
      <c r="Y30" s="78" t="e">
        <f>INDEX(Results!T:T,MATCH(V30,Results!V:V,0))</f>
        <v>#VALUE!</v>
      </c>
      <c r="Z30" s="58"/>
      <c r="AA30" s="76"/>
      <c r="AB30" s="76"/>
      <c r="AC30" s="76"/>
      <c r="AD30" s="76"/>
      <c r="AE30" s="80"/>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1:58">
      <c r="A31" s="76"/>
      <c r="B31" s="76"/>
      <c r="C31" s="77"/>
      <c r="D31" s="77"/>
      <c r="E31" s="76"/>
      <c r="F31" s="65">
        <v>30</v>
      </c>
      <c r="G31" s="66" t="s">
        <v>273</v>
      </c>
      <c r="H31" s="58"/>
      <c r="I31" s="83"/>
      <c r="J31" s="71" t="s">
        <v>273</v>
      </c>
      <c r="K31" s="72"/>
      <c r="L31" s="74"/>
      <c r="M31" s="75">
        <f>INDEX(Results!T:T,MATCH(J31,Results!V:V,0))</f>
        <v>-1.375</v>
      </c>
      <c r="N31" s="58"/>
      <c r="O31" s="83"/>
      <c r="P31" s="576" t="s">
        <v>273</v>
      </c>
      <c r="Q31" s="72">
        <v>-7</v>
      </c>
      <c r="R31" s="61"/>
      <c r="S31" s="78">
        <f>INDEX(Results!T:T,MATCH(P31,Results!V:V,0))</f>
        <v>-1.375</v>
      </c>
      <c r="T31" s="58"/>
      <c r="U31" s="63"/>
      <c r="V31" s="68" t="str">
        <f>IF(Q60=Q61,"Await earlier tie",IF(Q60&lt;Q61,P61,P60))</f>
        <v>Frank Allen</v>
      </c>
      <c r="W31" s="72">
        <v>-5.4285714285714288</v>
      </c>
      <c r="X31" s="64"/>
      <c r="Y31" s="78">
        <f>INDEX(Results!T:T,MATCH(V31,Results!V:V,0))</f>
        <v>-4.8499999999999996</v>
      </c>
      <c r="Z31" s="58"/>
      <c r="AA31" s="76"/>
      <c r="AB31" s="76"/>
      <c r="AC31" s="76"/>
      <c r="AD31" s="76"/>
      <c r="AE31" s="80"/>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1:58">
      <c r="A32" s="76"/>
      <c r="B32" s="76"/>
      <c r="C32" s="77"/>
      <c r="D32" s="77"/>
      <c r="E32" s="76"/>
      <c r="F32" s="65">
        <v>31</v>
      </c>
      <c r="G32" s="66" t="s">
        <v>271</v>
      </c>
      <c r="H32" s="58"/>
      <c r="I32" s="84">
        <v>16</v>
      </c>
      <c r="J32" s="71" t="s">
        <v>271</v>
      </c>
      <c r="K32" s="72"/>
      <c r="L32" s="73" t="str">
        <f>IF(K32="","",IF(K32=K33,"R",""))</f>
        <v/>
      </c>
      <c r="M32" s="75">
        <f>INDEX(Results!T:T,MATCH(J32,Results!V:V,0))</f>
        <v>-7</v>
      </c>
      <c r="N32" s="58"/>
      <c r="O32" s="84">
        <v>16</v>
      </c>
      <c r="P32" s="576" t="s">
        <v>271</v>
      </c>
      <c r="Q32" s="72">
        <v>-1.7363636363636363</v>
      </c>
      <c r="R32" s="81" t="str">
        <f>IF(Q32="","",IF(Q32=Q33,"R",""))</f>
        <v/>
      </c>
      <c r="S32" s="78">
        <f>INDEX(Results!T:T,MATCH(P32,Results!V:V,0))</f>
        <v>-7</v>
      </c>
      <c r="T32" s="58"/>
      <c r="U32" s="60">
        <v>16</v>
      </c>
      <c r="V32" s="68" t="str">
        <f>IF(Q62=Q63,"Await earlier tie",IF(Q62&lt;Q63,P63,P62))</f>
        <v>Emma McDermott</v>
      </c>
      <c r="W32" s="72">
        <v>-10</v>
      </c>
      <c r="X32" s="81" t="str">
        <f>IF(W32="","",IF(W32=W33,"R",""))</f>
        <v/>
      </c>
      <c r="Y32" s="78" t="e">
        <f>INDEX(Results!T:T,MATCH(V32,Results!V:V,0))</f>
        <v>#VALUE!</v>
      </c>
      <c r="Z32" s="58"/>
      <c r="AA32" s="76"/>
      <c r="AB32" s="76"/>
      <c r="AC32" s="76"/>
      <c r="AD32" s="76"/>
      <c r="AE32" s="80"/>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1:58">
      <c r="A33" s="76"/>
      <c r="B33" s="76"/>
      <c r="C33" s="77"/>
      <c r="D33" s="77"/>
      <c r="E33" s="76"/>
      <c r="F33" s="65">
        <v>32</v>
      </c>
      <c r="G33" s="66" t="s">
        <v>435</v>
      </c>
      <c r="H33" s="58"/>
      <c r="I33" s="83"/>
      <c r="J33" s="71" t="s">
        <v>435</v>
      </c>
      <c r="K33" s="72"/>
      <c r="L33" s="74"/>
      <c r="M33" s="75">
        <f>INDEX(Results!T:T,MATCH(J33,Results!V:V,0))</f>
        <v>-4.9000000000000004</v>
      </c>
      <c r="N33" s="58"/>
      <c r="O33" s="83"/>
      <c r="P33" s="576" t="s">
        <v>435</v>
      </c>
      <c r="Q33" s="72">
        <v>0.72727272727272751</v>
      </c>
      <c r="R33" s="61"/>
      <c r="S33" s="78">
        <f>INDEX(Results!T:T,MATCH(P33,Results!V:V,0))</f>
        <v>-4.9000000000000004</v>
      </c>
      <c r="T33" s="58"/>
      <c r="U33" s="67"/>
      <c r="V33" s="68" t="str">
        <f>IF(Q64=Q65,"Await earlier tie",IF(Q64&lt;Q65,P65,P64))</f>
        <v>Mike Penk</v>
      </c>
      <c r="W33" s="72">
        <v>0.1454545454545455</v>
      </c>
      <c r="X33" s="61"/>
      <c r="Y33" s="78">
        <f>INDEX(Results!T:T,MATCH(V33,Results!V:V,0))</f>
        <v>2.125</v>
      </c>
      <c r="Z33" s="58"/>
      <c r="AA33" s="76"/>
      <c r="AB33" s="76"/>
      <c r="AC33" s="76"/>
      <c r="AD33" s="76"/>
      <c r="AE33" s="80"/>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1:58">
      <c r="A34" s="76"/>
      <c r="B34" s="76"/>
      <c r="C34" s="77"/>
      <c r="D34" s="77"/>
      <c r="E34" s="76"/>
      <c r="F34" s="65">
        <v>33</v>
      </c>
      <c r="G34" s="66" t="s">
        <v>294</v>
      </c>
      <c r="H34" s="58"/>
      <c r="I34" s="84">
        <v>17</v>
      </c>
      <c r="J34" s="71" t="s">
        <v>294</v>
      </c>
      <c r="K34" s="72"/>
      <c r="L34" s="73" t="str">
        <f>IF(K34="","",IF(K34=K35,"R",""))</f>
        <v/>
      </c>
      <c r="M34" s="75">
        <f>INDEX(Results!T:T,MATCH(J34,Results!V:V,0))</f>
        <v>-0.63030303030303081</v>
      </c>
      <c r="N34" s="58"/>
      <c r="O34" s="84">
        <v>17</v>
      </c>
      <c r="P34" s="576" t="s">
        <v>294</v>
      </c>
      <c r="Q34" s="72">
        <v>2.1999999999999993</v>
      </c>
      <c r="R34" s="81" t="str">
        <f>IF(Q34="","",IF(Q34=Q35,"R",""))</f>
        <v/>
      </c>
      <c r="S34" s="78">
        <f>INDEX(Results!T:T,MATCH(P34,Results!V:V,0))</f>
        <v>-0.63030303030303081</v>
      </c>
      <c r="T34" s="58"/>
      <c r="U34" s="58"/>
      <c r="V34" s="58"/>
      <c r="W34" s="58"/>
      <c r="X34" s="58"/>
      <c r="Y34" s="79"/>
      <c r="Z34" s="58"/>
      <c r="AA34" s="76"/>
      <c r="AB34" s="76"/>
      <c r="AC34" s="76"/>
      <c r="AD34" s="76"/>
      <c r="AE34" s="80"/>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1:58">
      <c r="A35" s="76"/>
      <c r="B35" s="76"/>
      <c r="C35" s="77"/>
      <c r="D35" s="77"/>
      <c r="E35" s="76"/>
      <c r="F35" s="65">
        <v>34</v>
      </c>
      <c r="G35" s="66" t="s">
        <v>506</v>
      </c>
      <c r="H35" s="58"/>
      <c r="I35" s="83"/>
      <c r="J35" s="71" t="s">
        <v>506</v>
      </c>
      <c r="K35" s="72"/>
      <c r="L35" s="74"/>
      <c r="M35" s="75" t="e">
        <f>INDEX(Results!T:T,MATCH(J35,Results!V:V,0))</f>
        <v>#VALUE!</v>
      </c>
      <c r="N35" s="58"/>
      <c r="O35" s="83"/>
      <c r="P35" s="576" t="s">
        <v>506</v>
      </c>
      <c r="Q35" s="72">
        <v>6.5124999999999993</v>
      </c>
      <c r="R35" s="61"/>
      <c r="S35" s="78" t="e">
        <f>INDEX(Results!T:T,MATCH(P35,Results!V:V,0))</f>
        <v>#VALUE!</v>
      </c>
      <c r="T35" s="58"/>
      <c r="U35" s="58"/>
      <c r="V35" s="58"/>
      <c r="W35" s="58"/>
      <c r="X35" s="58"/>
      <c r="Y35" s="79"/>
      <c r="Z35" s="58"/>
      <c r="AA35" s="76"/>
      <c r="AB35" s="76"/>
      <c r="AC35" s="76"/>
      <c r="AD35" s="76"/>
      <c r="AE35" s="80"/>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1:58">
      <c r="A36" s="76"/>
      <c r="B36" s="76"/>
      <c r="C36" s="77"/>
      <c r="D36" s="77"/>
      <c r="E36" s="76"/>
      <c r="F36" s="65">
        <v>35</v>
      </c>
      <c r="G36" s="66" t="s">
        <v>293</v>
      </c>
      <c r="H36" s="58"/>
      <c r="I36" s="84">
        <v>18</v>
      </c>
      <c r="J36" s="71" t="s">
        <v>293</v>
      </c>
      <c r="K36" s="72"/>
      <c r="L36" s="73" t="str">
        <f>IF(K36="","",IF(K36=K37,"R",""))</f>
        <v/>
      </c>
      <c r="M36" s="75">
        <f>INDEX(Results!T:T,MATCH(J36,Results!V:V,0))</f>
        <v>-5</v>
      </c>
      <c r="N36" s="58"/>
      <c r="O36" s="84">
        <v>18</v>
      </c>
      <c r="P36" s="576" t="s">
        <v>293</v>
      </c>
      <c r="Q36" s="72">
        <v>2.75</v>
      </c>
      <c r="R36" s="81" t="str">
        <f>IF(Q36="","",IF(Q36=Q37,"R",""))</f>
        <v/>
      </c>
      <c r="S36" s="78">
        <f>INDEX(Results!T:T,MATCH(P36,Results!V:V,0))</f>
        <v>-5</v>
      </c>
      <c r="T36" s="58"/>
      <c r="U36" s="58"/>
      <c r="V36" s="58"/>
      <c r="W36" s="58"/>
      <c r="X36" s="58"/>
      <c r="Y36" s="79"/>
      <c r="Z36" s="58"/>
      <c r="AA36" s="76"/>
      <c r="AB36" s="76"/>
      <c r="AC36" s="76"/>
      <c r="AD36" s="76"/>
      <c r="AE36" s="80"/>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1:58" ht="13.15">
      <c r="A37" s="76"/>
      <c r="B37" s="76"/>
      <c r="C37" s="77"/>
      <c r="D37" s="77"/>
      <c r="E37" s="76"/>
      <c r="F37" s="65">
        <v>36</v>
      </c>
      <c r="G37" s="66" t="s">
        <v>289</v>
      </c>
      <c r="H37" s="58"/>
      <c r="I37" s="83"/>
      <c r="J37" s="71" t="s">
        <v>289</v>
      </c>
      <c r="K37" s="72"/>
      <c r="L37" s="74"/>
      <c r="M37" s="75">
        <f>INDEX(Results!T:T,MATCH(J37,Results!V:V,0))</f>
        <v>-3.6</v>
      </c>
      <c r="N37" s="58"/>
      <c r="O37" s="83"/>
      <c r="P37" s="576" t="s">
        <v>289</v>
      </c>
      <c r="Q37" s="72">
        <v>-3.3</v>
      </c>
      <c r="R37" s="61"/>
      <c r="S37" s="78">
        <f>INDEX(Results!T:T,MATCH(P37,Results!V:V,0))</f>
        <v>-3.6</v>
      </c>
      <c r="T37" s="58"/>
      <c r="U37" s="57" t="s">
        <v>422</v>
      </c>
      <c r="V37" s="141"/>
      <c r="W37" s="58"/>
      <c r="X37" s="58"/>
      <c r="Y37" s="79"/>
      <c r="Z37" s="58"/>
      <c r="AA37" s="76"/>
      <c r="AB37" s="76"/>
      <c r="AC37" s="76"/>
      <c r="AD37" s="76"/>
      <c r="AE37" s="80"/>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1:58">
      <c r="A38" s="76"/>
      <c r="B38" s="76"/>
      <c r="C38" s="77"/>
      <c r="D38" s="77"/>
      <c r="E38" s="76"/>
      <c r="F38" s="65">
        <v>37</v>
      </c>
      <c r="G38" s="66" t="s">
        <v>362</v>
      </c>
      <c r="H38" s="58"/>
      <c r="I38" s="84">
        <v>19</v>
      </c>
      <c r="J38" s="71"/>
      <c r="K38" s="72"/>
      <c r="L38" s="73" t="str">
        <f>IF(K38="","",IF(K38=K39,"R",""))</f>
        <v/>
      </c>
      <c r="M38" s="75" t="e">
        <f>INDEX(Results!T:T,MATCH(J38,Results!V:V,0))</f>
        <v>#N/A</v>
      </c>
      <c r="N38" s="58"/>
      <c r="O38" s="84">
        <v>19</v>
      </c>
      <c r="P38" s="576" t="s">
        <v>362</v>
      </c>
      <c r="Q38" s="72"/>
      <c r="R38" s="81" t="str">
        <f>IF(Q38="","",IF(Q38=Q39,"R",""))</f>
        <v/>
      </c>
      <c r="S38" s="78">
        <f>INDEX(Results!T:T,MATCH(P38,Results!V:V,0))</f>
        <v>62.2</v>
      </c>
      <c r="T38" s="58"/>
      <c r="U38" s="60">
        <v>2</v>
      </c>
      <c r="V38" s="68" t="s">
        <v>314</v>
      </c>
      <c r="W38" s="72">
        <v>-7</v>
      </c>
      <c r="X38" s="81" t="s">
        <v>567</v>
      </c>
      <c r="Y38" s="78">
        <f>INDEX(Results!T:T,MATCH(V38,Results!V:V,0))</f>
        <v>-5</v>
      </c>
      <c r="Z38" s="58"/>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1:58">
      <c r="A39" s="76"/>
      <c r="B39" s="76"/>
      <c r="C39" s="77"/>
      <c r="D39" s="77"/>
      <c r="E39" s="76"/>
      <c r="F39" s="65">
        <v>38</v>
      </c>
      <c r="G39" s="66" t="s">
        <v>278</v>
      </c>
      <c r="H39" s="58"/>
      <c r="I39" s="83"/>
      <c r="J39" s="71"/>
      <c r="K39" s="72"/>
      <c r="L39" s="74"/>
      <c r="M39" s="75" t="e">
        <f>INDEX(Results!T:T,MATCH(J39,Results!V:V,0))</f>
        <v>#N/A</v>
      </c>
      <c r="N39" s="58"/>
      <c r="O39" s="83"/>
      <c r="P39" s="576" t="s">
        <v>568</v>
      </c>
      <c r="Q39" s="72">
        <v>-10</v>
      </c>
      <c r="R39" s="61"/>
      <c r="S39" s="78" t="e">
        <f>INDEX(Results!T:T,MATCH(P39,Results!V:V,0))</f>
        <v>#N/A</v>
      </c>
      <c r="T39" s="58"/>
      <c r="U39" s="63"/>
      <c r="V39" s="68" t="s">
        <v>272</v>
      </c>
      <c r="W39" s="72">
        <v>-7</v>
      </c>
      <c r="X39" s="64"/>
      <c r="Y39" s="78">
        <f>INDEX(Results!T:T,MATCH(V39,Results!V:V,0))</f>
        <v>1.6187500000000004</v>
      </c>
      <c r="Z39" s="58"/>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1:58">
      <c r="A40" s="76"/>
      <c r="B40" s="76"/>
      <c r="C40" s="77"/>
      <c r="D40" s="77"/>
      <c r="E40" s="76"/>
      <c r="F40" s="65">
        <v>39</v>
      </c>
      <c r="G40" s="66" t="s">
        <v>359</v>
      </c>
      <c r="H40" s="58"/>
      <c r="I40" s="84">
        <v>20</v>
      </c>
      <c r="J40" s="71"/>
      <c r="K40" s="72"/>
      <c r="L40" s="73" t="str">
        <f>IF(K40="","",IF(K40=K41,"R",""))</f>
        <v/>
      </c>
      <c r="M40" s="75" t="e">
        <f>INDEX(Results!T:T,MATCH(J40,Results!V:V,0))</f>
        <v>#N/A</v>
      </c>
      <c r="N40" s="58"/>
      <c r="O40" s="84">
        <v>20</v>
      </c>
      <c r="P40" s="576" t="s">
        <v>278</v>
      </c>
      <c r="Q40" s="72"/>
      <c r="R40" s="81" t="str">
        <f>IF(Q40="","",IF(Q40=Q41,"R",""))</f>
        <v/>
      </c>
      <c r="S40" s="78">
        <f>INDEX(Results!T:T,MATCH(P40,Results!V:V,0))</f>
        <v>-4.7</v>
      </c>
      <c r="T40" s="58"/>
      <c r="U40" s="60"/>
      <c r="V40" s="62"/>
      <c r="W40" s="72"/>
      <c r="X40" s="81" t="str">
        <f>IF(W40="","",IF(W40=W41,"R",""))</f>
        <v/>
      </c>
      <c r="Y40" s="78" t="e">
        <f>INDEX(Results!T:T,MATCH(V40,Results!V:V,0))</f>
        <v>#N/A</v>
      </c>
      <c r="Z40" s="58"/>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1:58">
      <c r="A41" s="76"/>
      <c r="B41" s="76"/>
      <c r="C41" s="77"/>
      <c r="D41" s="77"/>
      <c r="E41" s="76"/>
      <c r="F41" s="65">
        <v>40</v>
      </c>
      <c r="G41" s="66" t="s">
        <v>303</v>
      </c>
      <c r="H41" s="58"/>
      <c r="I41" s="83"/>
      <c r="J41" s="71"/>
      <c r="K41" s="72"/>
      <c r="L41" s="74"/>
      <c r="M41" s="75" t="e">
        <f>INDEX(Results!T:T,MATCH(J41,Results!V:V,0))</f>
        <v>#N/A</v>
      </c>
      <c r="N41" s="58"/>
      <c r="O41" s="83"/>
      <c r="P41" s="576" t="s">
        <v>568</v>
      </c>
      <c r="Q41" s="72">
        <v>-10</v>
      </c>
      <c r="R41" s="61"/>
      <c r="S41" s="78" t="e">
        <f>INDEX(Results!T:T,MATCH(P41,Results!V:V,0))</f>
        <v>#N/A</v>
      </c>
      <c r="T41" s="58"/>
      <c r="U41" s="63"/>
      <c r="V41" s="62"/>
      <c r="W41" s="72"/>
      <c r="X41" s="64"/>
      <c r="Y41" s="78" t="e">
        <f>INDEX(Results!T:T,MATCH(V41,Results!V:V,0))</f>
        <v>#N/A</v>
      </c>
      <c r="Z41" s="58"/>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1:58">
      <c r="A42" s="76"/>
      <c r="B42" s="76"/>
      <c r="C42" s="77"/>
      <c r="D42" s="77"/>
      <c r="E42" s="76"/>
      <c r="F42" s="65">
        <v>41</v>
      </c>
      <c r="G42" s="66" t="s">
        <v>288</v>
      </c>
      <c r="H42" s="58"/>
      <c r="I42" s="84">
        <v>21</v>
      </c>
      <c r="J42" s="71"/>
      <c r="K42" s="72"/>
      <c r="L42" s="73" t="str">
        <f>IF(K42="","",IF(K42=K43,"R",""))</f>
        <v/>
      </c>
      <c r="M42" s="75" t="e">
        <f>INDEX(Results!T:T,MATCH(J42,Results!V:V,0))</f>
        <v>#N/A</v>
      </c>
      <c r="N42" s="58"/>
      <c r="O42" s="84">
        <v>21</v>
      </c>
      <c r="P42" s="576" t="s">
        <v>359</v>
      </c>
      <c r="Q42" s="72"/>
      <c r="R42" s="81" t="str">
        <f>IF(Q42="","",IF(Q42=Q43,"R",""))</f>
        <v/>
      </c>
      <c r="S42" s="78" t="e">
        <f>INDEX(Results!T:T,MATCH(P42,Results!V:V,0))</f>
        <v>#VALUE!</v>
      </c>
      <c r="T42" s="58"/>
      <c r="U42" s="60"/>
      <c r="V42" s="62"/>
      <c r="W42" s="72"/>
      <c r="X42" s="81" t="str">
        <f>IF(W42="","",IF(W42=W43,"R",""))</f>
        <v/>
      </c>
      <c r="Y42" s="78" t="e">
        <f>INDEX(Results!T:T,MATCH(V42,Results!V:V,0))</f>
        <v>#N/A</v>
      </c>
      <c r="Z42" s="58"/>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1:58">
      <c r="A43" s="76"/>
      <c r="B43" s="76"/>
      <c r="C43" s="77"/>
      <c r="D43" s="77"/>
      <c r="E43" s="76"/>
      <c r="F43" s="65">
        <v>42</v>
      </c>
      <c r="G43" s="66" t="s">
        <v>276</v>
      </c>
      <c r="H43" s="58"/>
      <c r="I43" s="83"/>
      <c r="J43" s="71"/>
      <c r="K43" s="72"/>
      <c r="L43" s="74"/>
      <c r="M43" s="75" t="e">
        <f>INDEX(Results!T:T,MATCH(J43,Results!V:V,0))</f>
        <v>#N/A</v>
      </c>
      <c r="N43" s="58"/>
      <c r="O43" s="83"/>
      <c r="P43" s="576" t="s">
        <v>568</v>
      </c>
      <c r="Q43" s="72">
        <v>-10</v>
      </c>
      <c r="R43" s="61"/>
      <c r="S43" s="78" t="e">
        <f>INDEX(Results!T:T,MATCH(P43,Results!V:V,0))</f>
        <v>#N/A</v>
      </c>
      <c r="T43" s="58"/>
      <c r="U43" s="63"/>
      <c r="V43" s="62"/>
      <c r="W43" s="72"/>
      <c r="X43" s="64"/>
      <c r="Y43" s="78" t="e">
        <f>INDEX(Results!T:T,MATCH(V43,Results!V:V,0))</f>
        <v>#N/A</v>
      </c>
      <c r="Z43" s="58"/>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1:58">
      <c r="A44" s="76"/>
      <c r="B44" s="76"/>
      <c r="C44" s="77"/>
      <c r="D44" s="77"/>
      <c r="E44" s="76"/>
      <c r="F44" s="65">
        <v>43</v>
      </c>
      <c r="G44" s="66" t="s">
        <v>292</v>
      </c>
      <c r="H44" s="58"/>
      <c r="I44" s="84">
        <v>22</v>
      </c>
      <c r="J44" s="71"/>
      <c r="K44" s="72"/>
      <c r="L44" s="73" t="str">
        <f t="shared" ref="L44:L72" si="0">IF(K44="","",IF(K44=K45,"R",""))</f>
        <v/>
      </c>
      <c r="M44" s="75" t="e">
        <f>INDEX(Results!T:T,MATCH(J44,Results!V:V,0))</f>
        <v>#N/A</v>
      </c>
      <c r="N44" s="58"/>
      <c r="O44" s="84">
        <v>22</v>
      </c>
      <c r="P44" s="576" t="s">
        <v>303</v>
      </c>
      <c r="Q44" s="72"/>
      <c r="R44" s="81" t="str">
        <f>IF(Q44="","",IF(Q44=Q45,"R",""))</f>
        <v/>
      </c>
      <c r="S44" s="78">
        <f>INDEX(Results!T:T,MATCH(P44,Results!V:V,0))</f>
        <v>-0.52666666666666728</v>
      </c>
      <c r="T44" s="58"/>
      <c r="U44" s="60"/>
      <c r="V44" s="62"/>
      <c r="W44" s="72"/>
      <c r="X44" s="73" t="str">
        <f>IF(W44="","",IF(W44=W45,"R",""))</f>
        <v/>
      </c>
      <c r="Y44" s="78" t="e">
        <f>INDEX(Results!T:T,MATCH(V44,Results!V:V,0))</f>
        <v>#N/A</v>
      </c>
      <c r="Z44" s="58"/>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1:58">
      <c r="A45" s="76"/>
      <c r="B45" s="76"/>
      <c r="C45" s="77"/>
      <c r="D45" s="77"/>
      <c r="E45" s="76"/>
      <c r="F45" s="65">
        <v>44</v>
      </c>
      <c r="G45" s="66" t="s">
        <v>308</v>
      </c>
      <c r="H45" s="58"/>
      <c r="I45" s="83"/>
      <c r="J45" s="71"/>
      <c r="K45" s="72"/>
      <c r="L45" s="74"/>
      <c r="M45" s="75" t="e">
        <f>INDEX(Results!T:T,MATCH(J45,Results!V:V,0))</f>
        <v>#N/A</v>
      </c>
      <c r="N45" s="58"/>
      <c r="O45" s="83"/>
      <c r="P45" s="576" t="s">
        <v>568</v>
      </c>
      <c r="Q45" s="72">
        <v>-10</v>
      </c>
      <c r="R45" s="61"/>
      <c r="S45" s="78" t="e">
        <f>INDEX(Results!T:T,MATCH(P45,Results!V:V,0))</f>
        <v>#N/A</v>
      </c>
      <c r="T45" s="58"/>
      <c r="U45" s="67"/>
      <c r="V45" s="62"/>
      <c r="W45" s="72"/>
      <c r="X45" s="61"/>
      <c r="Y45" s="78" t="e">
        <f>INDEX(Results!T:T,MATCH(V45,Results!V:V,0))</f>
        <v>#N/A</v>
      </c>
      <c r="Z45" s="58"/>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1:58">
      <c r="A46" s="76"/>
      <c r="B46" s="76"/>
      <c r="C46" s="77"/>
      <c r="D46" s="77"/>
      <c r="E46" s="76"/>
      <c r="F46" s="65">
        <v>45</v>
      </c>
      <c r="G46" s="66" t="s">
        <v>368</v>
      </c>
      <c r="H46" s="58"/>
      <c r="I46" s="84">
        <v>23</v>
      </c>
      <c r="J46" s="71"/>
      <c r="K46" s="72"/>
      <c r="L46" s="73" t="str">
        <f t="shared" si="0"/>
        <v/>
      </c>
      <c r="M46" s="75" t="e">
        <f>INDEX(Results!T:T,MATCH(J46,Results!V:V,0))</f>
        <v>#N/A</v>
      </c>
      <c r="N46" s="58"/>
      <c r="O46" s="84">
        <v>23</v>
      </c>
      <c r="P46" s="576" t="s">
        <v>288</v>
      </c>
      <c r="Q46" s="72"/>
      <c r="R46" s="81" t="str">
        <f>IF(Q46="","",IF(Q46=Q47,"R",""))</f>
        <v/>
      </c>
      <c r="S46" s="78">
        <f>INDEX(Results!T:T,MATCH(P46,Results!V:V,0))</f>
        <v>14</v>
      </c>
      <c r="T46" s="58"/>
      <c r="U46" s="60"/>
      <c r="V46" s="70"/>
      <c r="W46" s="72"/>
      <c r="X46" s="81" t="str">
        <f>IF(W46="","",IF(W46=W47,"R",""))</f>
        <v/>
      </c>
      <c r="Y46" s="78" t="e">
        <f>INDEX(Results!T:T,MATCH(V46,Results!V:V,0))</f>
        <v>#N/A</v>
      </c>
      <c r="Z46" s="58"/>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1:58">
      <c r="A47" s="76"/>
      <c r="B47" s="76"/>
      <c r="C47" s="77"/>
      <c r="D47" s="77"/>
      <c r="E47" s="76"/>
      <c r="F47" s="65">
        <v>46</v>
      </c>
      <c r="G47" s="66" t="s">
        <v>302</v>
      </c>
      <c r="H47" s="58"/>
      <c r="I47" s="83"/>
      <c r="J47" s="71"/>
      <c r="K47" s="72"/>
      <c r="L47" s="74"/>
      <c r="M47" s="75" t="e">
        <f>INDEX(Results!T:T,MATCH(J47,Results!V:V,0))</f>
        <v>#N/A</v>
      </c>
      <c r="N47" s="58"/>
      <c r="O47" s="83"/>
      <c r="P47" s="576" t="s">
        <v>568</v>
      </c>
      <c r="Q47" s="72">
        <v>-10</v>
      </c>
      <c r="R47" s="61"/>
      <c r="S47" s="78" t="e">
        <f>INDEX(Results!T:T,MATCH(P47,Results!V:V,0))</f>
        <v>#N/A</v>
      </c>
      <c r="T47" s="58"/>
      <c r="U47" s="63"/>
      <c r="V47" s="70"/>
      <c r="W47" s="72"/>
      <c r="X47" s="64"/>
      <c r="Y47" s="78" t="e">
        <f>INDEX(Results!T:T,MATCH(V47,Results!V:V,0))</f>
        <v>#N/A</v>
      </c>
      <c r="Z47" s="58"/>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1:58">
      <c r="A48" s="76"/>
      <c r="B48" s="76"/>
      <c r="C48" s="77"/>
      <c r="D48" s="77"/>
      <c r="E48" s="76"/>
      <c r="F48" s="65">
        <v>47</v>
      </c>
      <c r="G48" s="66" t="s">
        <v>508</v>
      </c>
      <c r="H48" s="58"/>
      <c r="I48" s="84">
        <v>24</v>
      </c>
      <c r="J48" s="71"/>
      <c r="K48" s="72"/>
      <c r="L48" s="73" t="str">
        <f t="shared" si="0"/>
        <v/>
      </c>
      <c r="M48" s="75" t="e">
        <f>INDEX(Results!T:T,MATCH(J48,Results!V:V,0))</f>
        <v>#N/A</v>
      </c>
      <c r="N48" s="58"/>
      <c r="O48" s="84">
        <v>24</v>
      </c>
      <c r="P48" s="576" t="s">
        <v>276</v>
      </c>
      <c r="Q48" s="72"/>
      <c r="R48" s="81" t="str">
        <f>IF(Q48="","",IF(Q48=Q49,"R",""))</f>
        <v/>
      </c>
      <c r="S48" s="78">
        <f>INDEX(Results!T:T,MATCH(P48,Results!V:V,0))</f>
        <v>0.83500000000000085</v>
      </c>
      <c r="T48" s="58"/>
      <c r="U48" s="60"/>
      <c r="V48" s="62"/>
      <c r="W48" s="72"/>
      <c r="X48" s="81" t="str">
        <f>IF(W48="","",IF(W48=W49,"R",""))</f>
        <v/>
      </c>
      <c r="Y48" s="78" t="e">
        <f>INDEX(Results!T:T,MATCH(V48,Results!V:V,0))</f>
        <v>#N/A</v>
      </c>
      <c r="Z48" s="58"/>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1:58">
      <c r="A49" s="76"/>
      <c r="B49" s="76"/>
      <c r="C49" s="77"/>
      <c r="D49" s="77"/>
      <c r="E49" s="76"/>
      <c r="F49" s="65">
        <v>48</v>
      </c>
      <c r="G49" s="66" t="s">
        <v>509</v>
      </c>
      <c r="H49" s="58"/>
      <c r="I49" s="83"/>
      <c r="J49" s="71"/>
      <c r="K49" s="72"/>
      <c r="L49" s="74"/>
      <c r="M49" s="75" t="e">
        <f>INDEX(Results!T:T,MATCH(J49,Results!V:V,0))</f>
        <v>#N/A</v>
      </c>
      <c r="N49" s="58"/>
      <c r="O49" s="83"/>
      <c r="P49" s="576" t="s">
        <v>568</v>
      </c>
      <c r="Q49" s="72">
        <v>-10</v>
      </c>
      <c r="R49" s="61"/>
      <c r="S49" s="78" t="e">
        <f>INDEX(Results!T:T,MATCH(P49,Results!V:V,0))</f>
        <v>#N/A</v>
      </c>
      <c r="T49" s="58"/>
      <c r="U49" s="63"/>
      <c r="V49" s="62"/>
      <c r="W49" s="72"/>
      <c r="X49" s="64"/>
      <c r="Y49" s="78" t="e">
        <f>INDEX(Results!T:T,MATCH(V49,Results!V:V,0))</f>
        <v>#N/A</v>
      </c>
      <c r="Z49" s="58"/>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1:58">
      <c r="A50" s="76"/>
      <c r="B50" s="76"/>
      <c r="C50" s="77"/>
      <c r="D50" s="77"/>
      <c r="E50" s="76"/>
      <c r="F50" s="65">
        <v>49</v>
      </c>
      <c r="G50" s="66" t="s">
        <v>529</v>
      </c>
      <c r="H50" s="58"/>
      <c r="I50" s="84">
        <v>25</v>
      </c>
      <c r="J50" s="71"/>
      <c r="K50" s="72"/>
      <c r="L50" s="73" t="str">
        <f t="shared" si="0"/>
        <v/>
      </c>
      <c r="M50" s="75" t="e">
        <f>INDEX(Results!T:T,MATCH(J50,Results!V:V,0))</f>
        <v>#N/A</v>
      </c>
      <c r="N50" s="58"/>
      <c r="O50" s="84">
        <v>25</v>
      </c>
      <c r="P50" s="576" t="s">
        <v>292</v>
      </c>
      <c r="Q50" s="72"/>
      <c r="R50" s="81" t="str">
        <f>IF(Q50="","",IF(Q50=Q51,"R",""))</f>
        <v/>
      </c>
      <c r="S50" s="78">
        <f>INDEX(Results!T:T,MATCH(P50,Results!V:V,0))</f>
        <v>7.5</v>
      </c>
      <c r="T50" s="76"/>
      <c r="U50" s="60"/>
      <c r="V50" s="62"/>
      <c r="W50" s="72"/>
      <c r="X50" s="81" t="str">
        <f>IF(W50="","",IF(W50=W51,"R",""))</f>
        <v/>
      </c>
      <c r="Y50" s="78" t="e">
        <f>INDEX(Results!T:T,MATCH(V50,Results!V:V,0))</f>
        <v>#N/A</v>
      </c>
      <c r="Z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1:58">
      <c r="A51" s="76"/>
      <c r="B51" s="76"/>
      <c r="C51" s="77"/>
      <c r="D51" s="77"/>
      <c r="E51" s="76"/>
      <c r="F51" s="65">
        <v>50</v>
      </c>
      <c r="G51" s="66" t="s">
        <v>287</v>
      </c>
      <c r="H51" s="58"/>
      <c r="I51" s="83"/>
      <c r="J51" s="71"/>
      <c r="K51" s="72"/>
      <c r="L51" s="74"/>
      <c r="M51" s="75" t="e">
        <f>INDEX(Results!T:T,MATCH(J51,Results!V:V,0))</f>
        <v>#N/A</v>
      </c>
      <c r="N51" s="58"/>
      <c r="O51" s="83"/>
      <c r="P51" s="576" t="s">
        <v>568</v>
      </c>
      <c r="Q51" s="72">
        <v>-10</v>
      </c>
      <c r="R51" s="61"/>
      <c r="S51" s="78" t="e">
        <f>INDEX(Results!T:T,MATCH(P51,Results!V:V,0))</f>
        <v>#N/A</v>
      </c>
      <c r="T51" s="76"/>
      <c r="U51" s="63"/>
      <c r="V51" s="62"/>
      <c r="W51" s="72"/>
      <c r="X51" s="64"/>
      <c r="Y51" s="78" t="e">
        <f>INDEX(Results!T:T,MATCH(V51,Results!V:V,0))</f>
        <v>#N/A</v>
      </c>
      <c r="Z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1:58">
      <c r="A52" s="76"/>
      <c r="B52" s="76"/>
      <c r="C52" s="77"/>
      <c r="D52" s="77"/>
      <c r="E52" s="76"/>
      <c r="F52" s="65"/>
      <c r="G52" s="66"/>
      <c r="H52" s="58"/>
      <c r="I52" s="84">
        <v>26</v>
      </c>
      <c r="J52" s="71"/>
      <c r="K52" s="72"/>
      <c r="L52" s="73" t="str">
        <f t="shared" si="0"/>
        <v/>
      </c>
      <c r="M52" s="75" t="e">
        <f>INDEX(Results!T:T,MATCH(J52,Results!V:V,0))</f>
        <v>#N/A</v>
      </c>
      <c r="N52" s="58"/>
      <c r="O52" s="84">
        <v>26</v>
      </c>
      <c r="P52" s="576" t="s">
        <v>308</v>
      </c>
      <c r="Q52" s="72"/>
      <c r="R52" s="81" t="str">
        <f>IF(Q52="","",IF(Q52=Q53,"R",""))</f>
        <v/>
      </c>
      <c r="S52" s="78">
        <f>INDEX(Results!T:T,MATCH(P52,Results!V:V,0))</f>
        <v>-5.35</v>
      </c>
      <c r="T52" s="76"/>
      <c r="U52" s="60"/>
      <c r="V52" s="62"/>
      <c r="W52" s="72"/>
      <c r="X52" s="73" t="str">
        <f>IF(W52="","",IF(W52=W53,"R",""))</f>
        <v/>
      </c>
      <c r="Y52" s="78" t="e">
        <f>INDEX(Results!T:T,MATCH(V52,Results!V:V,0))</f>
        <v>#N/A</v>
      </c>
      <c r="Z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1:58">
      <c r="A53" s="76"/>
      <c r="B53" s="76"/>
      <c r="C53" s="77"/>
      <c r="D53" s="77"/>
      <c r="E53" s="76"/>
      <c r="F53" s="65"/>
      <c r="G53" s="66"/>
      <c r="H53" s="58"/>
      <c r="I53" s="83"/>
      <c r="J53" s="71"/>
      <c r="K53" s="72"/>
      <c r="L53" s="74"/>
      <c r="M53" s="75" t="e">
        <f>INDEX(Results!T:T,MATCH(J53,Results!V:V,0))</f>
        <v>#N/A</v>
      </c>
      <c r="N53" s="58"/>
      <c r="O53" s="83"/>
      <c r="P53" s="576" t="s">
        <v>568</v>
      </c>
      <c r="Q53" s="72">
        <v>-10</v>
      </c>
      <c r="R53" s="61"/>
      <c r="S53" s="78" t="e">
        <f>INDEX(Results!T:T,MATCH(P53,Results!V:V,0))</f>
        <v>#N/A</v>
      </c>
      <c r="T53" s="76"/>
      <c r="U53" s="67"/>
      <c r="V53" s="62"/>
      <c r="W53" s="72"/>
      <c r="X53" s="61"/>
      <c r="Y53" s="78" t="e">
        <f>INDEX(Results!T:T,MATCH(V53,Results!V:V,0))</f>
        <v>#N/A</v>
      </c>
      <c r="Z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1:58">
      <c r="A54" s="76"/>
      <c r="B54" s="76"/>
      <c r="C54" s="77"/>
      <c r="D54" s="77"/>
      <c r="E54" s="76"/>
      <c r="F54" s="65"/>
      <c r="G54" s="66"/>
      <c r="H54" s="58"/>
      <c r="I54" s="84">
        <v>27</v>
      </c>
      <c r="J54" s="71"/>
      <c r="K54" s="72"/>
      <c r="L54" s="73" t="str">
        <f t="shared" si="0"/>
        <v/>
      </c>
      <c r="M54" s="75" t="e">
        <f>INDEX(Results!T:T,MATCH(J54,Results!V:V,0))</f>
        <v>#N/A</v>
      </c>
      <c r="N54" s="58"/>
      <c r="O54" s="84">
        <v>27</v>
      </c>
      <c r="P54" s="576" t="s">
        <v>368</v>
      </c>
      <c r="Q54" s="72"/>
      <c r="R54" s="81" t="str">
        <f>IF(Q54="","",IF(Q54=Q55,"R",""))</f>
        <v/>
      </c>
      <c r="S54" s="78">
        <f>INDEX(Results!T:T,MATCH(P54,Results!V:V,0))</f>
        <v>-7</v>
      </c>
      <c r="T54" s="76"/>
      <c r="U54" s="76"/>
      <c r="V54" s="76"/>
      <c r="W54" s="76"/>
      <c r="X54" s="76"/>
      <c r="Y54" s="79"/>
      <c r="Z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1:58">
      <c r="A55" s="76"/>
      <c r="B55" s="76"/>
      <c r="C55" s="77"/>
      <c r="D55" s="77"/>
      <c r="E55" s="76"/>
      <c r="F55" s="65"/>
      <c r="G55" s="66"/>
      <c r="H55" s="58"/>
      <c r="I55" s="83"/>
      <c r="J55" s="71"/>
      <c r="K55" s="72"/>
      <c r="L55" s="74"/>
      <c r="M55" s="75" t="e">
        <f>INDEX(Results!T:T,MATCH(J55,Results!V:V,0))</f>
        <v>#N/A</v>
      </c>
      <c r="N55" s="58"/>
      <c r="O55" s="83"/>
      <c r="P55" s="576" t="s">
        <v>568</v>
      </c>
      <c r="Q55" s="72">
        <v>-10</v>
      </c>
      <c r="R55" s="61"/>
      <c r="S55" s="78" t="e">
        <f>INDEX(Results!T:T,MATCH(P55,Results!V:V,0))</f>
        <v>#N/A</v>
      </c>
      <c r="T55" s="76"/>
      <c r="U55" s="76"/>
      <c r="V55" s="76"/>
      <c r="W55" s="76"/>
      <c r="X55" s="76"/>
      <c r="Y55" s="79"/>
      <c r="Z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1:58">
      <c r="A56" s="76"/>
      <c r="B56" s="76"/>
      <c r="C56" s="77"/>
      <c r="D56" s="77"/>
      <c r="E56" s="76"/>
      <c r="F56" s="65"/>
      <c r="G56" s="66"/>
      <c r="H56" s="58"/>
      <c r="I56" s="84">
        <v>28</v>
      </c>
      <c r="J56" s="71"/>
      <c r="K56" s="72"/>
      <c r="L56" s="73" t="str">
        <f t="shared" si="0"/>
        <v/>
      </c>
      <c r="M56" s="75" t="e">
        <f>INDEX(Results!T:T,MATCH(J56,Results!V:V,0))</f>
        <v>#N/A</v>
      </c>
      <c r="N56" s="58"/>
      <c r="O56" s="84">
        <v>28</v>
      </c>
      <c r="P56" s="576" t="s">
        <v>302</v>
      </c>
      <c r="Q56" s="72"/>
      <c r="R56" s="81" t="str">
        <f>IF(Q56="","",IF(Q56=Q57,"R",""))</f>
        <v/>
      </c>
      <c r="S56" s="78">
        <f>INDEX(Results!T:T,MATCH(P56,Results!V:V,0))</f>
        <v>-7</v>
      </c>
      <c r="T56" s="76"/>
      <c r="U56" s="76"/>
      <c r="V56" s="76"/>
      <c r="W56" s="76"/>
      <c r="X56" s="76"/>
      <c r="Y56" s="79"/>
      <c r="Z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1:58">
      <c r="A57" s="76"/>
      <c r="B57" s="76"/>
      <c r="C57" s="77"/>
      <c r="D57" s="77"/>
      <c r="E57" s="76"/>
      <c r="F57" s="65"/>
      <c r="G57" s="66"/>
      <c r="H57" s="58"/>
      <c r="I57" s="83"/>
      <c r="J57" s="71"/>
      <c r="K57" s="72"/>
      <c r="L57" s="74"/>
      <c r="M57" s="75" t="e">
        <f>INDEX(Results!T:T,MATCH(J57,Results!V:V,0))</f>
        <v>#N/A</v>
      </c>
      <c r="N57" s="58"/>
      <c r="O57" s="83"/>
      <c r="P57" s="576" t="s">
        <v>568</v>
      </c>
      <c r="Q57" s="72">
        <v>-10</v>
      </c>
      <c r="R57" s="61"/>
      <c r="S57" s="78" t="e">
        <f>INDEX(Results!T:T,MATCH(P57,Results!V:V,0))</f>
        <v>#N/A</v>
      </c>
      <c r="T57" s="76"/>
      <c r="U57" s="76"/>
      <c r="V57" s="76"/>
      <c r="W57" s="76"/>
      <c r="X57" s="76"/>
      <c r="Y57" s="79"/>
      <c r="Z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1:58">
      <c r="A58" s="76"/>
      <c r="B58" s="76"/>
      <c r="C58" s="77"/>
      <c r="D58" s="77"/>
      <c r="E58" s="76"/>
      <c r="F58" s="65"/>
      <c r="G58" s="66"/>
      <c r="H58" s="58"/>
      <c r="I58" s="84">
        <v>29</v>
      </c>
      <c r="J58" s="71"/>
      <c r="K58" s="72"/>
      <c r="L58" s="73" t="str">
        <f t="shared" si="0"/>
        <v/>
      </c>
      <c r="M58" s="75" t="e">
        <f>INDEX(Results!T:T,MATCH(J58,Results!V:V,0))</f>
        <v>#N/A</v>
      </c>
      <c r="N58" s="58"/>
      <c r="O58" s="84">
        <v>29</v>
      </c>
      <c r="P58" s="576" t="s">
        <v>508</v>
      </c>
      <c r="Q58" s="72"/>
      <c r="R58" s="81" t="str">
        <f>IF(Q58="","",IF(Q58=Q59,"R",""))</f>
        <v/>
      </c>
      <c r="S58" s="78" t="e">
        <f>INDEX(Results!T:T,MATCH(P58,Results!V:V,0))</f>
        <v>#VALUE!</v>
      </c>
      <c r="T58" s="76"/>
      <c r="U58" s="76"/>
      <c r="V58" s="76"/>
      <c r="W58" s="76"/>
      <c r="X58" s="76"/>
      <c r="Y58" s="79"/>
      <c r="Z58" s="76"/>
      <c r="AA58" s="58"/>
      <c r="AB58" s="58"/>
      <c r="AC58" s="58"/>
      <c r="AD58" s="58"/>
      <c r="AE58" s="80"/>
      <c r="AF58" s="76"/>
      <c r="AG58" s="76"/>
      <c r="AH58" s="76"/>
      <c r="AI58" s="76"/>
      <c r="AJ58" s="76"/>
      <c r="AK58" s="76"/>
      <c r="AL58" s="76"/>
      <c r="AM58" s="76"/>
      <c r="AN58" s="76"/>
      <c r="AO58" s="76"/>
      <c r="AP58" s="76"/>
      <c r="AQ58" s="76"/>
      <c r="AR58" s="76"/>
      <c r="AS58" s="76"/>
    </row>
    <row r="59" spans="1:58">
      <c r="A59" s="76"/>
      <c r="B59" s="76"/>
      <c r="C59" s="77"/>
      <c r="D59" s="77"/>
      <c r="E59" s="76"/>
      <c r="F59" s="65"/>
      <c r="G59" s="66"/>
      <c r="H59" s="58"/>
      <c r="I59" s="83"/>
      <c r="J59" s="71"/>
      <c r="K59" s="72"/>
      <c r="L59" s="74"/>
      <c r="M59" s="75" t="e">
        <f>INDEX(Results!T:T,MATCH(J59,Results!V:V,0))</f>
        <v>#N/A</v>
      </c>
      <c r="N59" s="58"/>
      <c r="O59" s="83"/>
      <c r="P59" s="576" t="s">
        <v>568</v>
      </c>
      <c r="Q59" s="72">
        <v>-10</v>
      </c>
      <c r="R59" s="61"/>
      <c r="S59" s="78" t="e">
        <f>INDEX(Results!T:T,MATCH(P59,Results!V:V,0))</f>
        <v>#N/A</v>
      </c>
      <c r="T59" s="76"/>
      <c r="U59" s="76"/>
      <c r="V59" s="76"/>
      <c r="W59" s="76"/>
      <c r="X59" s="76"/>
      <c r="Y59" s="79"/>
      <c r="Z59" s="76"/>
      <c r="AA59" s="58"/>
      <c r="AB59" s="58"/>
      <c r="AC59" s="58"/>
      <c r="AD59" s="58"/>
      <c r="AE59" s="80"/>
      <c r="AF59" s="76"/>
      <c r="AG59" s="76"/>
      <c r="AH59" s="76"/>
      <c r="AI59" s="76"/>
      <c r="AJ59" s="76"/>
      <c r="AK59" s="76"/>
      <c r="AL59" s="76"/>
      <c r="AM59" s="76"/>
      <c r="AN59" s="76"/>
      <c r="AO59" s="76"/>
      <c r="AP59" s="76"/>
      <c r="AQ59" s="76"/>
      <c r="AR59" s="76"/>
      <c r="AS59" s="76"/>
    </row>
    <row r="60" spans="1:58">
      <c r="A60" s="76"/>
      <c r="B60" s="76"/>
      <c r="C60" s="77"/>
      <c r="D60" s="77"/>
      <c r="E60" s="76"/>
      <c r="F60" s="65"/>
      <c r="G60" s="66"/>
      <c r="H60" s="58"/>
      <c r="I60" s="84">
        <v>30</v>
      </c>
      <c r="J60" s="71"/>
      <c r="K60" s="72"/>
      <c r="L60" s="73" t="str">
        <f t="shared" si="0"/>
        <v/>
      </c>
      <c r="M60" s="75" t="e">
        <f>INDEX(Results!T:T,MATCH(J60,Results!V:V,0))</f>
        <v>#N/A</v>
      </c>
      <c r="N60" s="58"/>
      <c r="O60" s="84">
        <v>30</v>
      </c>
      <c r="P60" s="576" t="s">
        <v>509</v>
      </c>
      <c r="Q60" s="72"/>
      <c r="R60" s="81" t="str">
        <f>IF(Q60="","",IF(Q60=Q61,"R",""))</f>
        <v/>
      </c>
      <c r="S60" s="78">
        <f>INDEX(Results!T:T,MATCH(P60,Results!V:V,0))</f>
        <v>-4.8499999999999996</v>
      </c>
      <c r="T60" s="76"/>
      <c r="U60" s="76"/>
      <c r="V60" s="76"/>
      <c r="W60" s="76"/>
      <c r="X60" s="76"/>
      <c r="Y60" s="79"/>
      <c r="Z60" s="76"/>
      <c r="AA60" s="58"/>
      <c r="AB60" s="58"/>
      <c r="AC60" s="58"/>
      <c r="AD60" s="58"/>
      <c r="AE60" s="80"/>
      <c r="AF60" s="76"/>
      <c r="AG60" s="76"/>
      <c r="AH60" s="76"/>
      <c r="AI60" s="76"/>
      <c r="AJ60" s="76"/>
      <c r="AK60" s="76"/>
      <c r="AL60" s="76"/>
      <c r="AM60" s="76"/>
      <c r="AN60" s="76"/>
      <c r="AO60" s="76"/>
      <c r="AP60" s="76"/>
      <c r="AQ60" s="76"/>
      <c r="AR60" s="76"/>
      <c r="AS60" s="76"/>
    </row>
    <row r="61" spans="1:58">
      <c r="A61" s="76"/>
      <c r="B61" s="76"/>
      <c r="C61" s="77"/>
      <c r="D61" s="77"/>
      <c r="E61" s="76"/>
      <c r="F61" s="65"/>
      <c r="G61" s="66"/>
      <c r="H61" s="58"/>
      <c r="I61" s="83"/>
      <c r="J61" s="71"/>
      <c r="K61" s="72"/>
      <c r="L61" s="74"/>
      <c r="M61" s="75" t="e">
        <f>INDEX(Results!T:T,MATCH(J61,Results!V:V,0))</f>
        <v>#N/A</v>
      </c>
      <c r="N61" s="58"/>
      <c r="O61" s="83"/>
      <c r="P61" s="576" t="s">
        <v>568</v>
      </c>
      <c r="Q61" s="72">
        <v>-10</v>
      </c>
      <c r="R61" s="61"/>
      <c r="S61" s="78" t="e">
        <f>INDEX(Results!T:T,MATCH(P61,Results!V:V,0))</f>
        <v>#N/A</v>
      </c>
      <c r="T61" s="76"/>
      <c r="U61" s="76"/>
      <c r="V61" s="76"/>
      <c r="W61" s="76"/>
      <c r="X61" s="76"/>
      <c r="Y61" s="79"/>
      <c r="Z61" s="76"/>
      <c r="AA61" s="58"/>
      <c r="AB61" s="58"/>
      <c r="AC61" s="58"/>
      <c r="AD61" s="58"/>
      <c r="AE61" s="80"/>
      <c r="AF61" s="76"/>
      <c r="AG61" s="76"/>
      <c r="AH61" s="76"/>
      <c r="AI61" s="76"/>
      <c r="AJ61" s="76"/>
      <c r="AK61" s="76"/>
      <c r="AL61" s="76"/>
      <c r="AM61" s="76"/>
      <c r="AN61" s="76"/>
      <c r="AO61" s="76"/>
      <c r="AP61" s="76"/>
      <c r="AQ61" s="76"/>
      <c r="AR61" s="76"/>
      <c r="AS61" s="76"/>
    </row>
    <row r="62" spans="1:58">
      <c r="A62" s="76"/>
      <c r="B62" s="76"/>
      <c r="C62" s="77"/>
      <c r="D62" s="77"/>
      <c r="E62" s="76"/>
      <c r="F62" s="65"/>
      <c r="G62" s="66"/>
      <c r="H62" s="58"/>
      <c r="I62" s="84">
        <v>31</v>
      </c>
      <c r="J62" s="71"/>
      <c r="K62" s="72"/>
      <c r="L62" s="73" t="str">
        <f t="shared" si="0"/>
        <v/>
      </c>
      <c r="M62" s="75" t="e">
        <f>INDEX(Results!T:T,MATCH(J62,Results!V:V,0))</f>
        <v>#N/A</v>
      </c>
      <c r="N62" s="58"/>
      <c r="O62" s="84">
        <v>31</v>
      </c>
      <c r="P62" s="576" t="s">
        <v>529</v>
      </c>
      <c r="Q62" s="72"/>
      <c r="R62" s="81" t="str">
        <f>IF(Q62="","",IF(Q62=Q63,"R",""))</f>
        <v/>
      </c>
      <c r="S62" s="78" t="e">
        <f>INDEX(Results!T:T,MATCH(P62,Results!V:V,0))</f>
        <v>#VALUE!</v>
      </c>
      <c r="T62" s="76"/>
      <c r="U62" s="76"/>
      <c r="V62" s="76"/>
      <c r="W62" s="76"/>
      <c r="X62" s="76"/>
      <c r="Y62" s="79"/>
      <c r="Z62" s="76"/>
      <c r="AA62" s="58"/>
      <c r="AB62" s="58"/>
      <c r="AC62" s="58"/>
      <c r="AD62" s="58"/>
      <c r="AE62" s="80"/>
      <c r="AF62" s="76"/>
      <c r="AG62" s="76"/>
      <c r="AH62" s="76"/>
      <c r="AI62" s="76"/>
      <c r="AJ62" s="76"/>
      <c r="AK62" s="76"/>
      <c r="AL62" s="76"/>
      <c r="AM62" s="76"/>
      <c r="AN62" s="76"/>
      <c r="AO62" s="76"/>
      <c r="AP62" s="76"/>
      <c r="AQ62" s="76"/>
      <c r="AR62" s="76"/>
      <c r="AS62" s="76"/>
    </row>
    <row r="63" spans="1:58">
      <c r="A63" s="76"/>
      <c r="B63" s="76"/>
      <c r="C63" s="77"/>
      <c r="D63" s="77"/>
      <c r="E63" s="76"/>
      <c r="F63" s="65"/>
      <c r="G63" s="66"/>
      <c r="H63" s="58"/>
      <c r="I63" s="83"/>
      <c r="J63" s="71"/>
      <c r="K63" s="72"/>
      <c r="L63" s="74"/>
      <c r="M63" s="75" t="e">
        <f>INDEX(Results!T:T,MATCH(J63,Results!V:V,0))</f>
        <v>#N/A</v>
      </c>
      <c r="N63" s="58"/>
      <c r="O63" s="83"/>
      <c r="P63" s="576" t="s">
        <v>568</v>
      </c>
      <c r="Q63" s="72">
        <v>-10</v>
      </c>
      <c r="R63" s="61"/>
      <c r="S63" s="78" t="e">
        <f>INDEX(Results!T:T,MATCH(P63,Results!V:V,0))</f>
        <v>#N/A</v>
      </c>
      <c r="T63" s="76"/>
      <c r="U63" s="76"/>
      <c r="V63" s="76"/>
      <c r="W63" s="76"/>
      <c r="X63" s="76"/>
      <c r="Y63" s="79"/>
      <c r="Z63" s="76"/>
      <c r="AF63" s="76"/>
      <c r="AG63" s="76"/>
      <c r="AH63" s="76"/>
      <c r="AI63" s="76"/>
      <c r="AJ63" s="76"/>
      <c r="AK63" s="76"/>
      <c r="AL63" s="76"/>
      <c r="AM63" s="76"/>
      <c r="AN63" s="76"/>
      <c r="AO63" s="76"/>
      <c r="AP63" s="76"/>
      <c r="AQ63" s="76"/>
      <c r="AR63" s="76"/>
      <c r="AS63" s="76"/>
    </row>
    <row r="64" spans="1:58">
      <c r="A64" s="76"/>
      <c r="B64" s="76"/>
      <c r="C64" s="77"/>
      <c r="D64" s="77"/>
      <c r="E64" s="76"/>
      <c r="F64" s="65"/>
      <c r="G64" s="66"/>
      <c r="H64" s="58"/>
      <c r="I64" s="84">
        <v>32</v>
      </c>
      <c r="J64" s="71"/>
      <c r="K64" s="72"/>
      <c r="L64" s="73" t="str">
        <f t="shared" si="0"/>
        <v/>
      </c>
      <c r="M64" s="75" t="e">
        <f>INDEX(Results!T:T,MATCH(J64,Results!V:V,0))</f>
        <v>#N/A</v>
      </c>
      <c r="N64" s="58"/>
      <c r="O64" s="84">
        <v>32</v>
      </c>
      <c r="P64" s="576" t="s">
        <v>287</v>
      </c>
      <c r="Q64" s="72"/>
      <c r="R64" s="81" t="str">
        <f>IF(Q64="","",IF(Q64=Q65,"R",""))</f>
        <v/>
      </c>
      <c r="S64" s="78">
        <f>INDEX(Results!T:T,MATCH(P64,Results!V:V,0))</f>
        <v>2.125</v>
      </c>
      <c r="T64" s="76"/>
      <c r="U64" s="76"/>
      <c r="V64" s="76"/>
      <c r="W64" s="76"/>
      <c r="X64" s="76"/>
      <c r="Y64" s="79"/>
      <c r="Z64" s="76"/>
      <c r="AF64" s="76"/>
      <c r="AG64" s="76"/>
      <c r="AH64" s="76"/>
      <c r="AI64" s="76"/>
      <c r="AJ64" s="76"/>
      <c r="AK64" s="76"/>
      <c r="AL64" s="76"/>
      <c r="AM64" s="76"/>
      <c r="AN64" s="76"/>
      <c r="AO64" s="76"/>
      <c r="AP64" s="76"/>
      <c r="AQ64" s="76"/>
      <c r="AR64" s="76"/>
      <c r="AS64" s="76"/>
    </row>
    <row r="65" spans="1:45">
      <c r="A65" s="76"/>
      <c r="B65" s="76"/>
      <c r="C65" s="77"/>
      <c r="D65" s="77"/>
      <c r="E65" s="76"/>
      <c r="F65" s="65"/>
      <c r="G65" s="66"/>
      <c r="H65" s="58"/>
      <c r="I65" s="83"/>
      <c r="J65" s="71"/>
      <c r="K65" s="72"/>
      <c r="L65" s="74"/>
      <c r="M65" s="75" t="e">
        <f>INDEX(Results!T:T,MATCH(J65,Results!V:V,0))</f>
        <v>#N/A</v>
      </c>
      <c r="N65" s="58"/>
      <c r="O65" s="83"/>
      <c r="P65" s="576" t="s">
        <v>568</v>
      </c>
      <c r="Q65" s="72">
        <v>-10</v>
      </c>
      <c r="R65" s="61"/>
      <c r="S65" s="78" t="e">
        <f>INDEX(Results!T:T,MATCH(P65,Results!V:V,0))</f>
        <v>#N/A</v>
      </c>
      <c r="T65" s="76"/>
      <c r="U65" s="76"/>
      <c r="V65" s="76"/>
      <c r="W65" s="76"/>
      <c r="X65" s="76"/>
      <c r="Y65" s="79"/>
      <c r="Z65" s="76"/>
      <c r="AF65" s="76"/>
      <c r="AG65" s="76"/>
      <c r="AH65" s="76"/>
      <c r="AI65" s="76"/>
      <c r="AJ65" s="76"/>
      <c r="AK65" s="76"/>
      <c r="AL65" s="76"/>
      <c r="AM65" s="76"/>
      <c r="AN65" s="76"/>
      <c r="AO65" s="76"/>
      <c r="AP65" s="76"/>
      <c r="AQ65" s="76"/>
      <c r="AR65" s="76"/>
      <c r="AS65" s="76"/>
    </row>
    <row r="66" spans="1:45">
      <c r="A66" s="76"/>
      <c r="B66" s="76"/>
      <c r="C66" s="77"/>
      <c r="D66" s="77"/>
      <c r="E66" s="76"/>
      <c r="F66" s="65"/>
      <c r="G66" s="66"/>
      <c r="H66" s="58"/>
      <c r="I66" s="84">
        <v>33</v>
      </c>
      <c r="J66" s="71"/>
      <c r="K66" s="72"/>
      <c r="L66" s="73" t="str">
        <f t="shared" si="0"/>
        <v/>
      </c>
      <c r="M66" s="75" t="e">
        <f>INDEX(Results!T:T,MATCH(J66,Results!V:V,0))</f>
        <v>#N/A</v>
      </c>
      <c r="N66" s="58"/>
      <c r="O66" s="59"/>
      <c r="P66" s="58"/>
      <c r="Q66" s="86"/>
      <c r="R66" s="58"/>
      <c r="S66" s="79"/>
      <c r="T66" s="76"/>
      <c r="U66" s="76"/>
      <c r="V66" s="76"/>
      <c r="W66" s="76"/>
      <c r="X66" s="76"/>
      <c r="Y66" s="79"/>
      <c r="Z66" s="76"/>
      <c r="AF66" s="76"/>
      <c r="AG66" s="76"/>
      <c r="AH66" s="76"/>
      <c r="AI66" s="76"/>
      <c r="AJ66" s="76"/>
      <c r="AK66" s="76"/>
      <c r="AL66" s="76"/>
      <c r="AM66" s="76"/>
      <c r="AN66" s="76"/>
      <c r="AO66" s="76"/>
      <c r="AP66" s="76"/>
      <c r="AQ66" s="76"/>
      <c r="AR66" s="76"/>
      <c r="AS66" s="76"/>
    </row>
    <row r="67" spans="1:45">
      <c r="A67" s="76"/>
      <c r="B67" s="76"/>
      <c r="C67" s="77"/>
      <c r="D67" s="77"/>
      <c r="E67" s="76"/>
      <c r="F67" s="65"/>
      <c r="G67" s="66"/>
      <c r="H67" s="58"/>
      <c r="I67" s="83"/>
      <c r="J67" s="71"/>
      <c r="K67" s="72"/>
      <c r="L67" s="74"/>
      <c r="M67" s="75" t="e">
        <f>INDEX(Results!T:T,MATCH(J67,Results!V:V,0))</f>
        <v>#N/A</v>
      </c>
      <c r="N67" s="58"/>
      <c r="O67" s="59"/>
      <c r="P67" s="58"/>
      <c r="Q67" s="86"/>
      <c r="R67" s="58"/>
      <c r="S67" s="79"/>
      <c r="T67" s="76"/>
      <c r="U67" s="76"/>
      <c r="V67" s="76"/>
      <c r="W67" s="76"/>
      <c r="X67" s="76"/>
      <c r="Y67" s="79"/>
      <c r="Z67" s="76"/>
      <c r="AF67" s="76"/>
      <c r="AG67" s="76"/>
      <c r="AH67" s="76"/>
      <c r="AI67" s="76"/>
      <c r="AJ67" s="76"/>
      <c r="AK67" s="76"/>
      <c r="AL67" s="76"/>
      <c r="AM67" s="76"/>
      <c r="AN67" s="76"/>
      <c r="AO67" s="76"/>
      <c r="AP67" s="76"/>
      <c r="AQ67" s="76"/>
      <c r="AR67" s="76"/>
      <c r="AS67" s="76"/>
    </row>
    <row r="68" spans="1:45">
      <c r="A68" s="76"/>
      <c r="B68" s="76"/>
      <c r="C68" s="77"/>
      <c r="D68" s="77"/>
      <c r="E68" s="76"/>
      <c r="F68" s="65"/>
      <c r="G68" s="66"/>
      <c r="H68" s="58"/>
      <c r="I68" s="84">
        <v>34</v>
      </c>
      <c r="J68" s="71"/>
      <c r="K68" s="72"/>
      <c r="L68" s="73" t="str">
        <f t="shared" si="0"/>
        <v/>
      </c>
      <c r="M68" s="75" t="e">
        <f>INDEX(Results!T:T,MATCH(J68,Results!V:V,0))</f>
        <v>#N/A</v>
      </c>
      <c r="N68" s="58"/>
      <c r="O68" s="59" t="s">
        <v>511</v>
      </c>
      <c r="P68" s="76"/>
      <c r="Q68" s="87"/>
      <c r="R68" s="76"/>
      <c r="S68" s="80"/>
      <c r="T68" s="76"/>
      <c r="U68" s="76"/>
      <c r="V68" s="76"/>
      <c r="W68" s="76"/>
      <c r="X68" s="76"/>
      <c r="Y68" s="79"/>
      <c r="Z68" s="76"/>
      <c r="AF68" s="76"/>
      <c r="AG68" s="76"/>
      <c r="AH68" s="76"/>
      <c r="AI68" s="76"/>
      <c r="AJ68" s="76"/>
      <c r="AK68" s="76"/>
      <c r="AL68" s="76"/>
      <c r="AM68" s="76"/>
      <c r="AN68" s="76"/>
      <c r="AO68" s="76"/>
      <c r="AP68" s="76"/>
      <c r="AQ68" s="76"/>
      <c r="AR68" s="76"/>
      <c r="AS68" s="76"/>
    </row>
    <row r="69" spans="1:45">
      <c r="A69" s="76"/>
      <c r="B69" s="76"/>
      <c r="C69" s="77"/>
      <c r="D69" s="77"/>
      <c r="E69" s="76"/>
      <c r="F69" s="65"/>
      <c r="G69" s="66"/>
      <c r="H69" s="58"/>
      <c r="I69" s="83"/>
      <c r="J69" s="71"/>
      <c r="K69" s="72"/>
      <c r="L69" s="74"/>
      <c r="M69" s="75" t="e">
        <f>INDEX(Results!T:T,MATCH(J69,Results!V:V,0))</f>
        <v>#N/A</v>
      </c>
      <c r="N69" s="58"/>
      <c r="O69" s="84">
        <v>11</v>
      </c>
      <c r="P69" s="68" t="s">
        <v>364</v>
      </c>
      <c r="Q69" s="72">
        <v>-10</v>
      </c>
      <c r="R69" s="81" t="s">
        <v>567</v>
      </c>
      <c r="S69" s="78"/>
      <c r="T69" s="76"/>
      <c r="U69" s="76"/>
      <c r="V69" s="76"/>
      <c r="W69" s="76"/>
      <c r="X69" s="76"/>
      <c r="Y69" s="79"/>
      <c r="Z69" s="76"/>
      <c r="AF69" s="76"/>
      <c r="AG69" s="76"/>
      <c r="AH69" s="76"/>
      <c r="AI69" s="76"/>
      <c r="AJ69" s="76"/>
      <c r="AK69" s="76"/>
      <c r="AL69" s="76"/>
      <c r="AM69" s="76"/>
      <c r="AN69" s="76"/>
      <c r="AO69" s="76"/>
      <c r="AP69" s="76"/>
      <c r="AQ69" s="76"/>
      <c r="AR69" s="76"/>
      <c r="AS69" s="76"/>
    </row>
    <row r="70" spans="1:45">
      <c r="A70" s="76"/>
      <c r="B70" s="76"/>
      <c r="C70" s="77"/>
      <c r="D70" s="77"/>
      <c r="E70" s="76"/>
      <c r="F70" s="77"/>
      <c r="H70" s="58"/>
      <c r="I70" s="84">
        <v>35</v>
      </c>
      <c r="J70" s="71"/>
      <c r="K70" s="72"/>
      <c r="L70" s="73" t="str">
        <f t="shared" si="0"/>
        <v/>
      </c>
      <c r="M70" s="75" t="e">
        <f>INDEX(Results!T:T,MATCH(J70,Results!V:V,0))</f>
        <v>#N/A</v>
      </c>
      <c r="N70" s="58"/>
      <c r="O70" s="83"/>
      <c r="P70" s="68" t="s">
        <v>507</v>
      </c>
      <c r="Q70" s="72">
        <v>-10</v>
      </c>
      <c r="R70" s="61"/>
      <c r="S70" s="78"/>
      <c r="T70" s="76"/>
      <c r="U70" s="76"/>
      <c r="V70" s="76"/>
      <c r="W70" s="76"/>
      <c r="X70" s="76"/>
      <c r="Y70" s="79"/>
      <c r="Z70" s="76"/>
      <c r="AF70" s="76"/>
      <c r="AG70" s="76"/>
      <c r="AH70" s="76"/>
      <c r="AI70" s="76"/>
      <c r="AJ70" s="76"/>
      <c r="AK70" s="76"/>
      <c r="AL70" s="76"/>
      <c r="AM70" s="76"/>
      <c r="AN70" s="76"/>
      <c r="AO70" s="76"/>
      <c r="AP70" s="76"/>
      <c r="AQ70" s="76"/>
      <c r="AR70" s="76"/>
      <c r="AS70" s="76"/>
    </row>
    <row r="71" spans="1:45">
      <c r="A71" s="76"/>
      <c r="B71" s="76"/>
      <c r="C71" s="77"/>
      <c r="D71" s="77"/>
      <c r="E71" s="76"/>
      <c r="F71" s="77"/>
      <c r="H71" s="58"/>
      <c r="I71" s="83"/>
      <c r="J71" s="71"/>
      <c r="K71" s="72"/>
      <c r="L71" s="74"/>
      <c r="M71" s="75" t="e">
        <f>INDEX(Results!T:T,MATCH(J71,Results!V:V,0))</f>
        <v>#N/A</v>
      </c>
      <c r="N71" s="58"/>
      <c r="O71" s="84"/>
      <c r="P71" s="68"/>
      <c r="Q71" s="72"/>
      <c r="R71" s="81"/>
      <c r="S71" s="78"/>
      <c r="T71" s="76"/>
      <c r="U71" s="76"/>
      <c r="V71" s="76"/>
      <c r="W71" s="76"/>
      <c r="X71" s="76"/>
      <c r="Y71" s="79"/>
      <c r="Z71" s="76"/>
      <c r="AF71" s="76"/>
      <c r="AG71" s="76"/>
      <c r="AH71" s="76"/>
      <c r="AI71" s="76"/>
      <c r="AJ71" s="76"/>
      <c r="AK71" s="76"/>
      <c r="AL71" s="76"/>
      <c r="AM71" s="76"/>
      <c r="AN71" s="76"/>
      <c r="AO71" s="76"/>
      <c r="AP71" s="76"/>
      <c r="AQ71" s="76"/>
      <c r="AR71" s="76"/>
      <c r="AS71" s="76"/>
    </row>
    <row r="72" spans="1:45">
      <c r="A72" s="76"/>
      <c r="B72" s="76"/>
      <c r="C72" s="77"/>
      <c r="D72" s="77"/>
      <c r="E72" s="76"/>
      <c r="H72" s="58"/>
      <c r="I72" s="84">
        <v>36</v>
      </c>
      <c r="J72" s="71"/>
      <c r="K72" s="72"/>
      <c r="L72" s="73" t="str">
        <f t="shared" si="0"/>
        <v/>
      </c>
      <c r="M72" s="75" t="e">
        <f>INDEX(Results!T:T,MATCH(J72,Results!V:V,0))</f>
        <v>#N/A</v>
      </c>
      <c r="N72" s="58"/>
      <c r="O72" s="83"/>
      <c r="P72" s="68"/>
      <c r="Q72" s="72"/>
      <c r="R72" s="61"/>
      <c r="S72" s="78"/>
      <c r="T72" s="76"/>
      <c r="U72" s="76"/>
      <c r="V72" s="76"/>
      <c r="W72" s="76"/>
      <c r="X72" s="76"/>
      <c r="Y72" s="79"/>
      <c r="Z72" s="76"/>
      <c r="AF72" s="76"/>
      <c r="AG72" s="76"/>
      <c r="AH72" s="76"/>
      <c r="AI72" s="76"/>
      <c r="AJ72" s="76"/>
      <c r="AK72" s="76"/>
      <c r="AL72" s="76"/>
      <c r="AM72" s="76"/>
      <c r="AN72" s="76"/>
      <c r="AO72" s="76"/>
      <c r="AP72" s="76"/>
      <c r="AQ72" s="76"/>
      <c r="AR72" s="76"/>
      <c r="AS72" s="76"/>
    </row>
    <row r="73" spans="1:45">
      <c r="A73" s="76"/>
      <c r="B73" s="76"/>
      <c r="C73" s="77"/>
      <c r="D73" s="77"/>
      <c r="E73" s="76"/>
      <c r="H73" s="58"/>
      <c r="I73" s="83"/>
      <c r="J73" s="71"/>
      <c r="K73" s="72"/>
      <c r="L73" s="74"/>
      <c r="M73" s="75" t="e">
        <f>INDEX(Results!T:T,MATCH(J73,Results!V:V,0))</f>
        <v>#N/A</v>
      </c>
      <c r="N73" s="58"/>
      <c r="O73" s="84"/>
      <c r="P73" s="68"/>
      <c r="Q73" s="72"/>
      <c r="R73" s="81" t="str">
        <f>IF(Q73="","",IF(Q73=Q74,"R",""))</f>
        <v/>
      </c>
      <c r="S73" s="78"/>
      <c r="T73" s="76"/>
      <c r="U73" s="76"/>
      <c r="V73" s="76"/>
      <c r="W73" s="76"/>
      <c r="X73" s="76"/>
      <c r="Y73" s="79"/>
      <c r="Z73" s="76"/>
      <c r="AF73" s="76"/>
      <c r="AG73" s="76"/>
      <c r="AH73" s="76"/>
      <c r="AI73" s="76"/>
      <c r="AJ73" s="76"/>
      <c r="AK73" s="76"/>
      <c r="AL73" s="76"/>
      <c r="AM73" s="76"/>
      <c r="AN73" s="76"/>
      <c r="AO73" s="76"/>
      <c r="AP73" s="76"/>
      <c r="AQ73" s="76"/>
      <c r="AR73" s="76"/>
      <c r="AS73" s="76"/>
    </row>
    <row r="74" spans="1:45">
      <c r="A74" s="76"/>
      <c r="B74" s="76"/>
      <c r="C74" s="77"/>
      <c r="D74" s="77"/>
      <c r="E74" s="76"/>
      <c r="H74" s="58"/>
      <c r="I74" s="59"/>
      <c r="J74" s="58"/>
      <c r="K74" s="58"/>
      <c r="L74" s="58"/>
      <c r="M74" s="58"/>
      <c r="N74" s="58"/>
      <c r="O74" s="83"/>
      <c r="P74" s="68"/>
      <c r="Q74" s="72"/>
      <c r="R74" s="61"/>
      <c r="S74" s="78"/>
      <c r="T74" s="76"/>
      <c r="U74" s="76"/>
      <c r="V74" s="76"/>
      <c r="W74" s="76"/>
      <c r="X74" s="76"/>
      <c r="Y74" s="79"/>
      <c r="Z74" s="76"/>
      <c r="AA74" s="76"/>
      <c r="AB74" s="76"/>
      <c r="AC74" s="76"/>
      <c r="AD74" s="76"/>
      <c r="AE74" s="80"/>
      <c r="AF74" s="76"/>
      <c r="AG74" s="76"/>
      <c r="AH74" s="76"/>
      <c r="AI74" s="76"/>
      <c r="AJ74" s="76"/>
      <c r="AK74" s="76"/>
      <c r="AL74" s="76"/>
      <c r="AM74" s="76"/>
      <c r="AN74" s="76"/>
      <c r="AO74" s="76"/>
      <c r="AP74" s="76"/>
      <c r="AQ74" s="76"/>
      <c r="AR74" s="76"/>
      <c r="AS74" s="76"/>
    </row>
    <row r="75" spans="1:45">
      <c r="A75" s="76"/>
      <c r="B75" s="76"/>
      <c r="C75" s="77"/>
      <c r="D75" s="77"/>
      <c r="E75" s="76"/>
      <c r="H75" s="58"/>
      <c r="I75" s="59"/>
      <c r="J75" s="58"/>
      <c r="K75" s="58"/>
      <c r="L75" s="58"/>
      <c r="M75" s="58"/>
      <c r="N75" s="58"/>
      <c r="O75" s="84"/>
      <c r="P75" s="68"/>
      <c r="Q75" s="72"/>
      <c r="R75" s="81" t="str">
        <f>IF(Q75="","",IF(Q75=Q76,"R",""))</f>
        <v/>
      </c>
      <c r="S75" s="78"/>
      <c r="T75" s="76"/>
      <c r="U75" s="76"/>
      <c r="V75" s="76"/>
      <c r="W75" s="76"/>
      <c r="X75" s="76"/>
      <c r="Y75" s="79"/>
      <c r="Z75" s="76"/>
      <c r="AA75" s="76"/>
      <c r="AB75" s="76"/>
      <c r="AC75" s="76"/>
      <c r="AD75" s="76"/>
      <c r="AE75" s="80"/>
      <c r="AF75" s="76"/>
      <c r="AG75" s="76"/>
      <c r="AH75" s="76"/>
      <c r="AI75" s="76"/>
      <c r="AJ75" s="76"/>
      <c r="AK75" s="76"/>
      <c r="AL75" s="76"/>
      <c r="AM75" s="76"/>
      <c r="AN75" s="76"/>
      <c r="AO75" s="76"/>
      <c r="AP75" s="76"/>
      <c r="AQ75" s="76"/>
      <c r="AR75" s="76"/>
      <c r="AS75" s="76"/>
    </row>
    <row r="76" spans="1:45">
      <c r="A76" s="76"/>
      <c r="B76" s="76"/>
      <c r="C76" s="77"/>
      <c r="D76" s="77"/>
      <c r="E76" s="76"/>
      <c r="H76" s="58"/>
      <c r="I76" s="59"/>
      <c r="J76" s="58"/>
      <c r="K76" s="58"/>
      <c r="L76" s="58"/>
      <c r="M76" s="58"/>
      <c r="N76" s="58"/>
      <c r="O76" s="83"/>
      <c r="P76" s="68"/>
      <c r="Q76" s="72"/>
      <c r="R76" s="61"/>
      <c r="S76" s="78"/>
      <c r="T76" s="76"/>
      <c r="U76" s="76"/>
      <c r="V76" s="76"/>
      <c r="W76" s="76"/>
      <c r="X76" s="76"/>
      <c r="Y76" s="79"/>
      <c r="Z76" s="76"/>
      <c r="AA76" s="76"/>
      <c r="AB76" s="76"/>
      <c r="AC76" s="76"/>
      <c r="AD76" s="76"/>
      <c r="AE76" s="80"/>
      <c r="AF76" s="76"/>
      <c r="AG76" s="76"/>
      <c r="AH76" s="76"/>
      <c r="AI76" s="76"/>
      <c r="AJ76" s="76"/>
      <c r="AK76" s="76"/>
      <c r="AL76" s="76"/>
      <c r="AM76" s="76"/>
      <c r="AN76" s="76"/>
      <c r="AO76" s="76"/>
      <c r="AP76" s="76"/>
      <c r="AQ76" s="76"/>
      <c r="AR76" s="76"/>
      <c r="AS76" s="76"/>
    </row>
    <row r="77" spans="1:45">
      <c r="A77" s="76"/>
      <c r="B77" s="76"/>
      <c r="C77" s="77"/>
      <c r="D77" s="77"/>
      <c r="E77" s="76"/>
      <c r="H77" s="58"/>
      <c r="I77" s="59"/>
      <c r="J77" s="58"/>
      <c r="K77" s="58"/>
      <c r="L77" s="58"/>
      <c r="M77" s="58"/>
      <c r="N77" s="58"/>
      <c r="O77" s="685"/>
      <c r="P77" s="68"/>
      <c r="Q77" s="72"/>
      <c r="R77" s="81" t="str">
        <f>IF(Q77="","",IF(Q77=Q78,"R",""))</f>
        <v/>
      </c>
      <c r="S77" s="79"/>
      <c r="T77" s="76"/>
      <c r="U77" s="76"/>
      <c r="V77" s="76"/>
      <c r="W77" s="76"/>
      <c r="X77" s="76"/>
      <c r="Y77" s="79"/>
      <c r="Z77" s="76"/>
      <c r="AA77" s="76"/>
      <c r="AB77" s="76"/>
      <c r="AC77" s="76"/>
      <c r="AD77" s="76"/>
      <c r="AE77" s="80"/>
      <c r="AF77" s="76"/>
      <c r="AG77" s="76"/>
      <c r="AH77" s="76"/>
      <c r="AI77" s="76"/>
      <c r="AJ77" s="76"/>
      <c r="AK77" s="76"/>
      <c r="AL77" s="76"/>
      <c r="AM77" s="76"/>
      <c r="AN77" s="76"/>
      <c r="AO77" s="76"/>
      <c r="AP77" s="76"/>
      <c r="AQ77" s="76"/>
      <c r="AR77" s="76"/>
      <c r="AS77" s="76"/>
    </row>
    <row r="78" spans="1:45">
      <c r="A78" s="76"/>
      <c r="B78" s="76"/>
      <c r="C78" s="77"/>
      <c r="D78" s="77"/>
      <c r="E78" s="76"/>
      <c r="H78" s="58"/>
      <c r="I78" s="59" t="s">
        <v>142</v>
      </c>
      <c r="J78" s="76"/>
      <c r="K78" s="76"/>
      <c r="L78" s="76"/>
      <c r="M78" s="58"/>
      <c r="N78" s="58"/>
      <c r="O78" s="686"/>
      <c r="P78" s="68"/>
      <c r="Q78" s="72"/>
      <c r="R78" s="61"/>
      <c r="S78" s="79"/>
      <c r="T78" s="76"/>
      <c r="U78" s="76"/>
      <c r="V78" s="76"/>
      <c r="W78" s="76"/>
      <c r="X78" s="76"/>
      <c r="Y78" s="79"/>
      <c r="Z78" s="76"/>
      <c r="AA78" s="76"/>
      <c r="AB78" s="76"/>
      <c r="AC78" s="76"/>
      <c r="AD78" s="76"/>
      <c r="AE78" s="80"/>
      <c r="AF78" s="76"/>
      <c r="AG78" s="76"/>
      <c r="AH78" s="76"/>
      <c r="AI78" s="76"/>
      <c r="AJ78" s="76"/>
      <c r="AK78" s="76"/>
      <c r="AL78" s="76"/>
      <c r="AM78" s="76"/>
      <c r="AN78" s="76"/>
      <c r="AO78" s="76"/>
      <c r="AP78" s="76"/>
      <c r="AQ78" s="76"/>
      <c r="AR78" s="76"/>
      <c r="AS78" s="76"/>
    </row>
    <row r="79" spans="1:45">
      <c r="A79" s="76"/>
      <c r="B79" s="76"/>
      <c r="C79" s="77"/>
      <c r="D79" s="77"/>
      <c r="E79" s="76"/>
      <c r="H79" s="58"/>
      <c r="I79" s="121">
        <v>1</v>
      </c>
      <c r="J79" s="68"/>
      <c r="K79" s="72"/>
      <c r="L79" s="81"/>
      <c r="M79" s="58"/>
      <c r="N79" s="58"/>
      <c r="O79" s="82"/>
      <c r="P79" s="68"/>
      <c r="Q79" s="72"/>
      <c r="R79" s="81" t="str">
        <f>IF(Q79="","",IF(Q79=Q80,"R",""))</f>
        <v/>
      </c>
      <c r="S79" s="79"/>
      <c r="T79" s="76"/>
      <c r="U79" s="76"/>
      <c r="V79" s="76"/>
      <c r="W79" s="76"/>
      <c r="X79" s="76"/>
      <c r="Y79" s="79"/>
      <c r="Z79" s="76"/>
      <c r="AA79" s="76"/>
      <c r="AB79" s="76"/>
      <c r="AC79" s="76"/>
      <c r="AD79" s="76"/>
      <c r="AE79" s="80"/>
      <c r="AF79" s="76"/>
      <c r="AG79" s="76"/>
      <c r="AH79" s="76"/>
      <c r="AI79" s="76"/>
      <c r="AJ79" s="76"/>
      <c r="AK79" s="76"/>
      <c r="AL79" s="76"/>
      <c r="AM79" s="76"/>
      <c r="AN79" s="76"/>
      <c r="AO79" s="76"/>
      <c r="AP79" s="76"/>
      <c r="AQ79" s="76"/>
      <c r="AR79" s="76"/>
      <c r="AS79" s="76"/>
    </row>
    <row r="80" spans="1:45">
      <c r="A80" s="76"/>
      <c r="B80" s="76"/>
      <c r="C80" s="77"/>
      <c r="D80" s="77"/>
      <c r="E80" s="76"/>
      <c r="H80" s="58"/>
      <c r="I80" s="122"/>
      <c r="J80" s="68"/>
      <c r="K80" s="72"/>
      <c r="L80" s="61"/>
      <c r="M80" s="58"/>
      <c r="N80" s="58"/>
      <c r="O80" s="83"/>
      <c r="P80" s="68"/>
      <c r="Q80" s="72"/>
      <c r="R80" s="61"/>
      <c r="S80" s="79"/>
      <c r="T80" s="76"/>
      <c r="U80" s="76"/>
      <c r="V80" s="76"/>
      <c r="W80" s="76"/>
      <c r="X80" s="76"/>
      <c r="Y80" s="79"/>
      <c r="Z80" s="76"/>
      <c r="AF80" s="76"/>
      <c r="AG80" s="76"/>
      <c r="AH80" s="76"/>
      <c r="AI80" s="76"/>
      <c r="AJ80" s="76"/>
      <c r="AK80" s="76"/>
      <c r="AL80" s="76"/>
      <c r="AM80" s="76"/>
      <c r="AN80" s="76"/>
      <c r="AO80" s="76"/>
      <c r="AP80" s="76"/>
      <c r="AQ80" s="76"/>
      <c r="AR80" s="76"/>
      <c r="AS80" s="76"/>
    </row>
    <row r="81" spans="1:45">
      <c r="A81" s="76"/>
      <c r="B81" s="76"/>
      <c r="C81" s="77"/>
      <c r="D81" s="77"/>
      <c r="E81" s="76"/>
      <c r="H81" s="58"/>
      <c r="I81" s="82"/>
      <c r="J81" s="68"/>
      <c r="K81" s="72"/>
      <c r="L81" s="81" t="str">
        <f>IF(K81="","",IF(K81=K82,"R",""))</f>
        <v/>
      </c>
      <c r="M81" s="58"/>
      <c r="N81" s="58"/>
      <c r="O81" s="685"/>
      <c r="P81" s="68"/>
      <c r="Q81" s="72"/>
      <c r="R81" s="81" t="str">
        <f>IF(Q81="","",IF(Q81=Q82,"R",""))</f>
        <v/>
      </c>
      <c r="S81" s="79"/>
      <c r="T81" s="76"/>
      <c r="U81" s="76"/>
      <c r="V81" s="76"/>
      <c r="W81" s="76"/>
      <c r="X81" s="76"/>
      <c r="Y81" s="79"/>
      <c r="Z81" s="76"/>
      <c r="AF81" s="76"/>
      <c r="AG81" s="76"/>
      <c r="AH81" s="76"/>
      <c r="AI81" s="76"/>
      <c r="AJ81" s="76"/>
      <c r="AK81" s="76"/>
      <c r="AL81" s="76"/>
      <c r="AM81" s="76"/>
      <c r="AN81" s="76"/>
      <c r="AO81" s="76"/>
      <c r="AP81" s="76"/>
      <c r="AQ81" s="76"/>
      <c r="AR81" s="76"/>
      <c r="AS81" s="76"/>
    </row>
    <row r="82" spans="1:45">
      <c r="A82" s="76"/>
      <c r="B82" s="76"/>
      <c r="C82" s="77"/>
      <c r="D82" s="77"/>
      <c r="E82" s="76"/>
      <c r="H82" s="76"/>
      <c r="I82" s="83"/>
      <c r="J82" s="68"/>
      <c r="K82" s="72"/>
      <c r="L82" s="61"/>
      <c r="M82" s="58"/>
      <c r="N82" s="58"/>
      <c r="O82" s="686"/>
      <c r="P82" s="68"/>
      <c r="Q82" s="72"/>
      <c r="R82" s="61"/>
      <c r="S82" s="80"/>
      <c r="T82" s="76"/>
      <c r="U82" s="76"/>
      <c r="V82" s="76"/>
      <c r="W82" s="76"/>
      <c r="X82" s="76"/>
      <c r="Y82" s="80"/>
      <c r="Z82" s="76"/>
      <c r="AF82" s="76"/>
      <c r="AG82" s="76"/>
      <c r="AH82" s="76"/>
      <c r="AI82" s="76"/>
      <c r="AJ82" s="76"/>
      <c r="AK82" s="76"/>
      <c r="AL82" s="76"/>
      <c r="AM82" s="76"/>
      <c r="AN82" s="76"/>
      <c r="AO82" s="76"/>
      <c r="AP82" s="76"/>
      <c r="AQ82" s="76"/>
      <c r="AR82" s="76"/>
      <c r="AS82" s="76"/>
    </row>
    <row r="83" spans="1:45">
      <c r="A83" s="76"/>
      <c r="B83" s="76"/>
      <c r="C83" s="77"/>
      <c r="D83" s="77"/>
      <c r="E83" s="76"/>
      <c r="H83" s="76"/>
      <c r="I83" s="121"/>
      <c r="J83" s="68"/>
      <c r="K83" s="72"/>
      <c r="L83" s="81" t="str">
        <f>IF(K83="","",IF(K83=K84,"R",""))</f>
        <v/>
      </c>
      <c r="M83" s="58"/>
      <c r="N83" s="58"/>
      <c r="O83" s="82"/>
      <c r="P83" s="68"/>
      <c r="Q83" s="72"/>
      <c r="R83" s="81" t="str">
        <f>IF(Q83="","",IF(Q83=Q84,"R",""))</f>
        <v/>
      </c>
      <c r="S83" s="80"/>
      <c r="T83" s="76"/>
      <c r="U83" s="76"/>
      <c r="V83" s="76"/>
      <c r="W83" s="76"/>
      <c r="X83" s="76"/>
      <c r="Y83" s="80"/>
      <c r="Z83" s="76"/>
      <c r="AF83" s="76"/>
      <c r="AG83" s="76"/>
      <c r="AH83" s="76"/>
      <c r="AI83" s="76"/>
      <c r="AJ83" s="76"/>
      <c r="AK83" s="76"/>
      <c r="AL83" s="76"/>
      <c r="AM83" s="76"/>
      <c r="AN83" s="76"/>
      <c r="AO83" s="76"/>
      <c r="AP83" s="76"/>
      <c r="AQ83" s="76"/>
      <c r="AR83" s="76"/>
      <c r="AS83" s="76"/>
    </row>
    <row r="84" spans="1:45">
      <c r="A84" s="76"/>
      <c r="B84" s="76"/>
      <c r="C84" s="77"/>
      <c r="D84" s="77"/>
      <c r="E84" s="76"/>
      <c r="H84" s="76"/>
      <c r="I84" s="122"/>
      <c r="J84" s="68"/>
      <c r="K84" s="72"/>
      <c r="L84" s="61"/>
      <c r="M84" s="58"/>
      <c r="N84" s="58"/>
      <c r="O84" s="83"/>
      <c r="P84" s="68"/>
      <c r="Q84" s="72"/>
      <c r="R84" s="61"/>
      <c r="S84" s="80"/>
      <c r="T84" s="76"/>
      <c r="U84" s="76"/>
      <c r="V84" s="76"/>
      <c r="W84" s="76"/>
      <c r="X84" s="76"/>
      <c r="Y84" s="80"/>
      <c r="Z84" s="76"/>
      <c r="AF84" s="76"/>
      <c r="AG84" s="76"/>
      <c r="AH84" s="76"/>
      <c r="AI84" s="76"/>
      <c r="AJ84" s="76"/>
      <c r="AK84" s="76"/>
      <c r="AL84" s="76"/>
      <c r="AM84" s="76"/>
      <c r="AN84" s="76"/>
      <c r="AO84" s="76"/>
      <c r="AP84" s="76"/>
      <c r="AQ84" s="76"/>
      <c r="AR84" s="76"/>
      <c r="AS84" s="76"/>
    </row>
    <row r="85" spans="1:45">
      <c r="A85" s="76"/>
      <c r="B85" s="76"/>
      <c r="C85" s="77"/>
      <c r="D85" s="77"/>
      <c r="E85" s="76"/>
      <c r="H85" s="76"/>
      <c r="I85" s="82"/>
      <c r="J85" s="68"/>
      <c r="K85" s="72"/>
      <c r="L85" s="81" t="str">
        <f>IF(K85="","",IF(K85=K86,"R",""))</f>
        <v/>
      </c>
      <c r="M85" s="58"/>
      <c r="N85" s="58"/>
      <c r="O85" s="685"/>
      <c r="P85" s="68"/>
      <c r="Q85" s="72"/>
      <c r="R85" s="81" t="str">
        <f>IF(Q85="","",IF(Q85=Q86,"R",""))</f>
        <v/>
      </c>
      <c r="S85" s="80"/>
      <c r="T85" s="76"/>
      <c r="U85" s="76"/>
      <c r="V85" s="76"/>
      <c r="W85" s="76"/>
      <c r="X85" s="76"/>
      <c r="Y85" s="80"/>
      <c r="Z85" s="76"/>
      <c r="AF85" s="76"/>
      <c r="AG85" s="76"/>
      <c r="AH85" s="76"/>
      <c r="AI85" s="76"/>
      <c r="AJ85" s="76"/>
      <c r="AK85" s="76"/>
      <c r="AL85" s="76"/>
      <c r="AM85" s="76"/>
      <c r="AN85" s="76"/>
      <c r="AO85" s="76"/>
      <c r="AP85" s="76"/>
      <c r="AQ85" s="76"/>
      <c r="AR85" s="76"/>
      <c r="AS85" s="76"/>
    </row>
    <row r="86" spans="1:45">
      <c r="A86" s="76"/>
      <c r="B86" s="76"/>
      <c r="C86" s="77"/>
      <c r="D86" s="77"/>
      <c r="E86" s="76"/>
      <c r="H86" s="76"/>
      <c r="I86" s="83"/>
      <c r="J86" s="68"/>
      <c r="K86" s="72"/>
      <c r="L86" s="61"/>
      <c r="M86" s="58"/>
      <c r="N86" s="58"/>
      <c r="O86" s="686"/>
      <c r="P86" s="68"/>
      <c r="Q86" s="72"/>
      <c r="R86" s="61"/>
      <c r="S86" s="80"/>
      <c r="T86" s="76"/>
      <c r="U86" s="76"/>
      <c r="V86" s="76"/>
      <c r="W86" s="76"/>
      <c r="X86" s="76"/>
      <c r="Y86" s="80"/>
      <c r="Z86" s="76"/>
      <c r="AF86" s="76"/>
      <c r="AG86" s="76"/>
      <c r="AH86" s="76"/>
      <c r="AI86" s="76"/>
      <c r="AJ86" s="76"/>
      <c r="AK86" s="76"/>
      <c r="AL86" s="76"/>
      <c r="AM86" s="76"/>
      <c r="AN86" s="76"/>
      <c r="AO86" s="76"/>
      <c r="AP86" s="76"/>
      <c r="AQ86" s="76"/>
      <c r="AR86" s="76"/>
      <c r="AS86" s="76"/>
    </row>
    <row r="87" spans="1:45">
      <c r="A87" s="76"/>
      <c r="B87" s="76"/>
      <c r="C87" s="77"/>
      <c r="D87" s="77"/>
      <c r="E87" s="76"/>
      <c r="H87" s="76"/>
      <c r="I87" s="685"/>
      <c r="J87" s="68"/>
      <c r="K87" s="72"/>
      <c r="L87" s="81" t="str">
        <f>IF(K87="","",IF(K87=K88,"R",""))</f>
        <v/>
      </c>
      <c r="M87" s="58"/>
      <c r="N87" s="58"/>
      <c r="O87" s="82"/>
      <c r="P87" s="68"/>
      <c r="Q87" s="72"/>
      <c r="R87" s="81" t="str">
        <f>IF(Q87="","",IF(Q87=Q88,"R",""))</f>
        <v/>
      </c>
      <c r="S87" s="80"/>
      <c r="T87" s="76"/>
      <c r="U87" s="76"/>
      <c r="V87" s="76"/>
      <c r="W87" s="76"/>
      <c r="X87" s="76"/>
      <c r="Y87" s="80"/>
      <c r="Z87" s="76"/>
      <c r="AF87" s="76"/>
      <c r="AG87" s="76"/>
      <c r="AH87" s="76"/>
      <c r="AI87" s="76"/>
      <c r="AJ87" s="76"/>
      <c r="AK87" s="76"/>
      <c r="AL87" s="76"/>
      <c r="AM87" s="76"/>
      <c r="AN87" s="76"/>
      <c r="AO87" s="76"/>
      <c r="AP87" s="76"/>
      <c r="AQ87" s="76"/>
      <c r="AR87" s="76"/>
      <c r="AS87" s="76"/>
    </row>
    <row r="88" spans="1:45">
      <c r="A88" s="76"/>
      <c r="B88" s="76"/>
      <c r="C88" s="77"/>
      <c r="D88" s="77"/>
      <c r="E88" s="76"/>
      <c r="H88" s="76"/>
      <c r="I88" s="686"/>
      <c r="J88" s="68"/>
      <c r="K88" s="72"/>
      <c r="L88" s="61"/>
      <c r="M88" s="58"/>
      <c r="N88" s="58"/>
      <c r="O88" s="83"/>
      <c r="P88" s="68"/>
      <c r="Q88" s="72"/>
      <c r="R88" s="61"/>
      <c r="S88" s="80"/>
      <c r="T88" s="76"/>
      <c r="U88" s="76"/>
      <c r="V88" s="76"/>
      <c r="W88" s="76"/>
      <c r="X88" s="76"/>
      <c r="Y88" s="80"/>
      <c r="Z88" s="76"/>
      <c r="AF88" s="76"/>
      <c r="AG88" s="76"/>
      <c r="AH88" s="76"/>
      <c r="AI88" s="76"/>
      <c r="AJ88" s="76"/>
      <c r="AK88" s="76"/>
      <c r="AL88" s="76"/>
      <c r="AM88" s="76"/>
      <c r="AN88" s="76"/>
      <c r="AO88" s="76"/>
      <c r="AP88" s="76"/>
      <c r="AQ88" s="76"/>
      <c r="AR88" s="76"/>
      <c r="AS88" s="76"/>
    </row>
    <row r="89" spans="1:45">
      <c r="A89" s="76"/>
      <c r="B89" s="76"/>
      <c r="C89" s="77"/>
      <c r="D89" s="77"/>
      <c r="E89" s="76"/>
      <c r="H89" s="76"/>
      <c r="I89" s="82"/>
      <c r="J89" s="68"/>
      <c r="K89" s="72"/>
      <c r="L89" s="81" t="str">
        <f>IF(K89="","",IF(K89=K90,"R",""))</f>
        <v/>
      </c>
      <c r="M89" s="58"/>
      <c r="N89" s="58"/>
      <c r="O89" s="685"/>
      <c r="P89" s="68"/>
      <c r="Q89" s="72"/>
      <c r="R89" s="81" t="str">
        <f>IF(Q89="","",IF(Q89=Q90,"R",""))</f>
        <v/>
      </c>
      <c r="S89" s="80"/>
      <c r="T89" s="76"/>
      <c r="U89" s="76"/>
      <c r="V89" s="76"/>
      <c r="W89" s="76"/>
      <c r="X89" s="76"/>
      <c r="Y89" s="80"/>
      <c r="Z89" s="76"/>
      <c r="AF89" s="76"/>
      <c r="AG89" s="76"/>
      <c r="AH89" s="76"/>
      <c r="AI89" s="76"/>
      <c r="AJ89" s="76"/>
      <c r="AK89" s="76"/>
      <c r="AL89" s="76"/>
      <c r="AM89" s="76"/>
      <c r="AN89" s="76"/>
      <c r="AO89" s="76"/>
      <c r="AP89" s="76"/>
      <c r="AQ89" s="76"/>
      <c r="AR89" s="76"/>
      <c r="AS89" s="76"/>
    </row>
    <row r="90" spans="1:45">
      <c r="A90" s="76"/>
      <c r="B90" s="76"/>
      <c r="C90" s="77"/>
      <c r="D90" s="77"/>
      <c r="E90" s="76"/>
      <c r="H90" s="76"/>
      <c r="I90" s="83"/>
      <c r="J90" s="68"/>
      <c r="K90" s="72"/>
      <c r="L90" s="61"/>
      <c r="M90" s="58"/>
      <c r="N90" s="58"/>
      <c r="O90" s="686"/>
      <c r="P90" s="68"/>
      <c r="Q90" s="72"/>
      <c r="R90" s="61"/>
      <c r="S90" s="80"/>
      <c r="T90" s="76"/>
      <c r="U90" s="76"/>
      <c r="V90" s="76"/>
      <c r="W90" s="76"/>
      <c r="X90" s="76"/>
      <c r="Y90" s="80"/>
      <c r="Z90" s="76"/>
      <c r="AA90" s="76"/>
      <c r="AB90" s="76"/>
      <c r="AC90" s="76"/>
      <c r="AD90" s="76"/>
      <c r="AE90" s="80"/>
      <c r="AF90" s="76"/>
      <c r="AG90" s="76"/>
      <c r="AH90" s="76"/>
      <c r="AI90" s="76"/>
      <c r="AJ90" s="76"/>
      <c r="AK90" s="76"/>
      <c r="AL90" s="76"/>
      <c r="AM90" s="76"/>
      <c r="AN90" s="76"/>
      <c r="AO90" s="76"/>
      <c r="AP90" s="76"/>
      <c r="AQ90" s="76"/>
      <c r="AR90" s="76"/>
      <c r="AS90" s="76"/>
    </row>
    <row r="91" spans="1:45">
      <c r="A91" s="76"/>
      <c r="B91" s="76"/>
      <c r="C91" s="77"/>
      <c r="D91" s="77"/>
      <c r="E91" s="76"/>
      <c r="H91" s="76"/>
      <c r="I91" s="685"/>
      <c r="J91" s="68"/>
      <c r="K91" s="72"/>
      <c r="L91" s="81" t="str">
        <f>IF(K91="","",IF(K91=K92,"R",""))</f>
        <v/>
      </c>
      <c r="M91" s="58"/>
      <c r="N91" s="58"/>
      <c r="O91" s="82"/>
      <c r="P91" s="68"/>
      <c r="Q91" s="72"/>
      <c r="R91" s="81" t="str">
        <f>IF(Q91="","",IF(Q91=Q92,"R",""))</f>
        <v/>
      </c>
      <c r="S91" s="80"/>
      <c r="T91" s="76"/>
      <c r="U91" s="76"/>
      <c r="V91" s="76"/>
      <c r="W91" s="76"/>
      <c r="X91" s="76"/>
      <c r="Y91" s="80"/>
      <c r="Z91" s="76"/>
      <c r="AA91" s="76"/>
      <c r="AB91" s="76"/>
      <c r="AC91" s="76"/>
      <c r="AD91" s="76"/>
      <c r="AE91" s="80"/>
      <c r="AF91" s="76"/>
      <c r="AG91" s="76"/>
      <c r="AH91" s="76"/>
      <c r="AI91" s="76"/>
      <c r="AJ91" s="76"/>
      <c r="AK91" s="76"/>
      <c r="AL91" s="76"/>
      <c r="AM91" s="76"/>
      <c r="AN91" s="76"/>
      <c r="AO91" s="76"/>
      <c r="AP91" s="76"/>
      <c r="AQ91" s="76"/>
      <c r="AR91" s="76"/>
      <c r="AS91" s="76"/>
    </row>
    <row r="92" spans="1:45">
      <c r="A92" s="76"/>
      <c r="B92" s="76"/>
      <c r="C92" s="77"/>
      <c r="D92" s="77"/>
      <c r="E92" s="76"/>
      <c r="H92" s="76"/>
      <c r="I92" s="686"/>
      <c r="J92" s="68"/>
      <c r="K92" s="72"/>
      <c r="L92" s="61"/>
      <c r="M92" s="58"/>
      <c r="N92" s="58"/>
      <c r="O92" s="83"/>
      <c r="P92" s="68"/>
      <c r="Q92" s="72"/>
      <c r="R92" s="61"/>
      <c r="S92" s="80"/>
      <c r="T92" s="76"/>
      <c r="U92" s="76"/>
      <c r="V92" s="76"/>
      <c r="W92" s="76"/>
      <c r="X92" s="76"/>
      <c r="Y92" s="80"/>
      <c r="Z92" s="76"/>
      <c r="AA92" s="76"/>
      <c r="AB92" s="76"/>
      <c r="AC92" s="76"/>
      <c r="AD92" s="76"/>
      <c r="AE92" s="80"/>
      <c r="AF92" s="76"/>
      <c r="AG92" s="76"/>
      <c r="AH92" s="76"/>
      <c r="AI92" s="76"/>
      <c r="AJ92" s="76"/>
      <c r="AK92" s="76"/>
      <c r="AL92" s="76"/>
      <c r="AM92" s="76"/>
      <c r="AN92" s="76"/>
      <c r="AO92" s="76"/>
      <c r="AP92" s="76"/>
      <c r="AQ92" s="76"/>
      <c r="AR92" s="76"/>
      <c r="AS92" s="76"/>
    </row>
    <row r="93" spans="1:45">
      <c r="A93" s="76"/>
      <c r="B93" s="76"/>
      <c r="C93" s="77"/>
      <c r="D93" s="77"/>
      <c r="E93" s="76"/>
      <c r="H93" s="76"/>
      <c r="I93" s="82"/>
      <c r="J93" s="68"/>
      <c r="K93" s="72"/>
      <c r="L93" s="81" t="str">
        <f>IF(K93="","",IF(K93=K94,"R",""))</f>
        <v/>
      </c>
      <c r="M93" s="58"/>
      <c r="N93" s="58"/>
      <c r="O93" s="77"/>
      <c r="P93" s="76"/>
      <c r="Q93" s="76"/>
      <c r="R93" s="76"/>
      <c r="S93" s="80"/>
      <c r="T93" s="76"/>
      <c r="U93" s="76"/>
      <c r="V93" s="76"/>
      <c r="W93" s="76"/>
      <c r="X93" s="76"/>
      <c r="Y93" s="80"/>
      <c r="Z93" s="76"/>
      <c r="AA93" s="76"/>
      <c r="AB93" s="76"/>
      <c r="AC93" s="76"/>
      <c r="AD93" s="76"/>
      <c r="AE93" s="80"/>
      <c r="AF93" s="76"/>
      <c r="AG93" s="76"/>
      <c r="AH93" s="76"/>
      <c r="AI93" s="76"/>
      <c r="AJ93" s="76"/>
      <c r="AK93" s="76"/>
      <c r="AL93" s="76"/>
      <c r="AM93" s="76"/>
      <c r="AN93" s="76"/>
      <c r="AO93" s="76"/>
      <c r="AP93" s="76"/>
      <c r="AQ93" s="76"/>
      <c r="AR93" s="76"/>
      <c r="AS93" s="76"/>
    </row>
    <row r="94" spans="1:45">
      <c r="A94" s="76"/>
      <c r="B94" s="76"/>
      <c r="C94" s="77"/>
      <c r="D94" s="77"/>
      <c r="E94" s="76"/>
      <c r="H94" s="76"/>
      <c r="I94" s="83"/>
      <c r="J94" s="68"/>
      <c r="K94" s="72"/>
      <c r="L94" s="61"/>
      <c r="M94" s="58"/>
      <c r="N94" s="58"/>
      <c r="O94" s="77"/>
      <c r="P94" s="76"/>
      <c r="Q94" s="76"/>
      <c r="R94" s="76"/>
      <c r="S94" s="80"/>
      <c r="T94" s="76"/>
      <c r="U94" s="76"/>
      <c r="V94" s="76"/>
      <c r="W94" s="76"/>
      <c r="X94" s="76"/>
      <c r="Y94" s="80"/>
      <c r="Z94" s="76"/>
      <c r="AA94" s="76"/>
      <c r="AB94" s="76"/>
      <c r="AC94" s="76"/>
      <c r="AD94" s="76"/>
      <c r="AE94" s="80"/>
      <c r="AF94" s="76"/>
      <c r="AG94" s="76"/>
      <c r="AH94" s="76"/>
      <c r="AI94" s="76"/>
      <c r="AJ94" s="76"/>
      <c r="AK94" s="76"/>
      <c r="AL94" s="76"/>
      <c r="AM94" s="76"/>
      <c r="AN94" s="76"/>
      <c r="AO94" s="76"/>
      <c r="AP94" s="76"/>
      <c r="AQ94" s="76"/>
      <c r="AR94" s="76"/>
      <c r="AS94" s="76"/>
    </row>
    <row r="95" spans="1:45">
      <c r="A95" s="76"/>
      <c r="B95" s="76"/>
      <c r="C95" s="77"/>
      <c r="D95" s="77"/>
      <c r="E95" s="76"/>
      <c r="H95" s="76"/>
      <c r="I95" s="59"/>
      <c r="J95" s="58"/>
      <c r="K95" s="58"/>
      <c r="L95" s="58"/>
      <c r="M95" s="58"/>
      <c r="N95" s="58"/>
      <c r="O95" s="77"/>
      <c r="P95" s="76"/>
      <c r="Q95" s="76"/>
      <c r="R95" s="76"/>
      <c r="S95" s="80"/>
      <c r="T95" s="76"/>
      <c r="U95" s="76"/>
      <c r="V95" s="76"/>
      <c r="W95" s="76"/>
      <c r="X95" s="76"/>
      <c r="Y95" s="80"/>
      <c r="Z95" s="76"/>
      <c r="AA95" s="76"/>
      <c r="AB95" s="76"/>
      <c r="AC95" s="76"/>
      <c r="AD95" s="76"/>
      <c r="AE95" s="80"/>
      <c r="AF95" s="76"/>
      <c r="AG95" s="76"/>
      <c r="AH95" s="76"/>
      <c r="AI95" s="76"/>
      <c r="AJ95" s="76"/>
      <c r="AK95" s="76"/>
      <c r="AL95" s="76"/>
      <c r="AM95" s="76"/>
      <c r="AN95" s="76"/>
      <c r="AO95" s="76"/>
      <c r="AP95" s="76"/>
      <c r="AQ95" s="76"/>
      <c r="AR95" s="76"/>
      <c r="AS95" s="76"/>
    </row>
    <row r="96" spans="1:45">
      <c r="A96" s="76"/>
      <c r="B96" s="76"/>
      <c r="C96" s="77"/>
      <c r="D96" s="77"/>
      <c r="E96" s="76"/>
      <c r="H96" s="76"/>
      <c r="I96" s="59"/>
      <c r="J96" s="58"/>
      <c r="K96" s="58"/>
      <c r="L96" s="58"/>
      <c r="M96" s="58"/>
      <c r="N96" s="58"/>
      <c r="O96" s="77"/>
      <c r="P96" s="76"/>
      <c r="Q96" s="76"/>
      <c r="R96" s="76"/>
      <c r="S96" s="80"/>
      <c r="T96" s="76"/>
      <c r="U96" s="76"/>
      <c r="V96" s="76"/>
      <c r="W96" s="76"/>
      <c r="X96" s="76"/>
      <c r="Y96" s="80"/>
      <c r="Z96" s="76"/>
      <c r="AA96" s="76"/>
      <c r="AB96" s="76"/>
      <c r="AC96" s="76"/>
      <c r="AD96" s="76"/>
      <c r="AE96" s="80"/>
      <c r="AF96" s="76"/>
      <c r="AG96" s="76"/>
      <c r="AH96" s="76"/>
      <c r="AI96" s="76"/>
      <c r="AJ96" s="76"/>
      <c r="AK96" s="76"/>
      <c r="AL96" s="76"/>
      <c r="AM96" s="76"/>
      <c r="AN96" s="76"/>
      <c r="AO96" s="76"/>
      <c r="AP96" s="76"/>
      <c r="AQ96" s="76"/>
      <c r="AR96" s="76"/>
      <c r="AS96" s="76"/>
    </row>
    <row r="97" spans="1:45">
      <c r="A97" s="76"/>
      <c r="B97" s="76"/>
      <c r="C97" s="77"/>
      <c r="D97" s="77"/>
      <c r="E97" s="76"/>
      <c r="H97" s="76"/>
      <c r="I97" s="59"/>
      <c r="J97" s="58"/>
      <c r="K97" s="58"/>
      <c r="L97" s="58"/>
      <c r="M97" s="58"/>
      <c r="N97" s="58"/>
      <c r="O97" s="77"/>
      <c r="P97" s="76"/>
      <c r="Q97" s="76"/>
      <c r="R97" s="76"/>
      <c r="S97" s="80"/>
      <c r="T97" s="76"/>
      <c r="U97" s="76"/>
      <c r="V97" s="76"/>
      <c r="W97" s="76"/>
      <c r="X97" s="76"/>
      <c r="Y97" s="80"/>
      <c r="Z97" s="76"/>
      <c r="AA97" s="76"/>
      <c r="AB97" s="76"/>
      <c r="AC97" s="76"/>
      <c r="AD97" s="76"/>
      <c r="AE97" s="80"/>
      <c r="AF97" s="76"/>
      <c r="AG97" s="76"/>
      <c r="AH97" s="76"/>
      <c r="AI97" s="76"/>
      <c r="AJ97" s="76"/>
      <c r="AK97" s="76"/>
      <c r="AL97" s="76"/>
      <c r="AM97" s="76"/>
      <c r="AN97" s="76"/>
      <c r="AO97" s="76"/>
      <c r="AP97" s="76"/>
      <c r="AQ97" s="76"/>
      <c r="AR97" s="76"/>
      <c r="AS97" s="76"/>
    </row>
    <row r="98" spans="1:45">
      <c r="A98" s="76"/>
      <c r="B98" s="76"/>
      <c r="C98" s="77"/>
      <c r="D98" s="77"/>
      <c r="E98" s="76"/>
      <c r="H98" s="76"/>
      <c r="I98" s="59"/>
      <c r="J98" s="58"/>
      <c r="K98" s="58"/>
      <c r="L98" s="58"/>
      <c r="M98" s="58"/>
      <c r="N98" s="58"/>
      <c r="O98" s="77"/>
      <c r="P98" s="76"/>
      <c r="Q98" s="76"/>
      <c r="R98" s="76"/>
      <c r="S98" s="80"/>
      <c r="T98" s="76"/>
      <c r="U98" s="76"/>
      <c r="V98" s="76"/>
      <c r="W98" s="76"/>
      <c r="X98" s="76"/>
      <c r="Y98" s="80"/>
      <c r="Z98" s="76"/>
      <c r="AA98" s="76"/>
      <c r="AB98" s="76"/>
      <c r="AC98" s="76"/>
      <c r="AD98" s="76"/>
      <c r="AE98" s="80"/>
      <c r="AF98" s="76"/>
      <c r="AG98" s="76"/>
      <c r="AH98" s="76"/>
      <c r="AI98" s="76"/>
      <c r="AJ98" s="76"/>
      <c r="AK98" s="76"/>
      <c r="AL98" s="76"/>
      <c r="AM98" s="76"/>
      <c r="AN98" s="76"/>
      <c r="AO98" s="76"/>
      <c r="AP98" s="76"/>
      <c r="AQ98" s="76"/>
      <c r="AR98" s="76"/>
      <c r="AS98" s="76"/>
    </row>
    <row r="99" spans="1:45">
      <c r="A99" s="76"/>
      <c r="B99" s="76"/>
      <c r="C99" s="77"/>
      <c r="D99" s="77"/>
      <c r="E99" s="76"/>
      <c r="H99" s="76"/>
      <c r="I99" s="59"/>
      <c r="J99" s="58"/>
      <c r="K99" s="58"/>
      <c r="L99" s="58"/>
      <c r="M99" s="58"/>
      <c r="N99" s="58"/>
      <c r="O99" s="77"/>
      <c r="P99" s="76"/>
      <c r="Q99" s="76"/>
      <c r="R99" s="76"/>
      <c r="S99" s="80"/>
      <c r="T99" s="76"/>
      <c r="U99" s="76"/>
      <c r="V99" s="76"/>
      <c r="W99" s="76"/>
      <c r="X99" s="76"/>
      <c r="Y99" s="80"/>
      <c r="Z99" s="76"/>
      <c r="AA99" s="76"/>
      <c r="AB99" s="76"/>
      <c r="AC99" s="76"/>
      <c r="AD99" s="76"/>
      <c r="AE99" s="80"/>
      <c r="AF99" s="76"/>
      <c r="AG99" s="76"/>
      <c r="AH99" s="76"/>
      <c r="AI99" s="76"/>
      <c r="AJ99" s="76"/>
      <c r="AK99" s="76"/>
      <c r="AL99" s="76"/>
      <c r="AM99" s="76"/>
      <c r="AN99" s="76"/>
      <c r="AO99" s="76"/>
      <c r="AP99" s="76"/>
      <c r="AQ99" s="76"/>
      <c r="AR99" s="76"/>
      <c r="AS99" s="76"/>
    </row>
    <row r="100" spans="1:45">
      <c r="A100" s="76"/>
      <c r="B100" s="76"/>
      <c r="C100" s="77"/>
      <c r="D100" s="77"/>
      <c r="E100" s="76"/>
      <c r="H100" s="76"/>
      <c r="I100" s="59"/>
      <c r="J100" s="58"/>
      <c r="K100" s="58"/>
      <c r="L100" s="58"/>
      <c r="M100" s="58"/>
      <c r="N100" s="58"/>
      <c r="O100" s="77"/>
      <c r="P100" s="76"/>
      <c r="Q100" s="76"/>
      <c r="R100" s="76"/>
      <c r="S100" s="80"/>
      <c r="T100" s="76"/>
      <c r="U100" s="76"/>
      <c r="V100" s="76"/>
      <c r="W100" s="76"/>
      <c r="X100" s="76"/>
      <c r="Y100" s="80"/>
      <c r="Z100" s="76"/>
      <c r="AA100" s="76"/>
      <c r="AB100" s="76"/>
      <c r="AC100" s="76"/>
      <c r="AD100" s="76"/>
      <c r="AE100" s="80"/>
      <c r="AF100" s="76"/>
      <c r="AG100" s="76"/>
      <c r="AH100" s="76"/>
      <c r="AI100" s="76"/>
      <c r="AJ100" s="76"/>
      <c r="AK100" s="76"/>
      <c r="AL100" s="76"/>
      <c r="AM100" s="76"/>
      <c r="AN100" s="76"/>
      <c r="AO100" s="76"/>
      <c r="AP100" s="76"/>
      <c r="AQ100" s="76"/>
      <c r="AR100" s="76"/>
      <c r="AS100" s="76"/>
    </row>
    <row r="101" spans="1:45">
      <c r="A101" s="76"/>
      <c r="B101" s="76"/>
      <c r="C101" s="77"/>
      <c r="D101" s="77"/>
      <c r="E101" s="76"/>
      <c r="H101" s="76"/>
      <c r="I101" s="59"/>
      <c r="J101" s="58"/>
      <c r="K101" s="58"/>
      <c r="L101" s="58"/>
      <c r="M101" s="58"/>
      <c r="N101" s="58"/>
      <c r="O101" s="77"/>
      <c r="P101" s="76"/>
      <c r="Q101" s="76"/>
      <c r="R101" s="76"/>
      <c r="S101" s="80"/>
      <c r="T101" s="76"/>
      <c r="U101" s="76"/>
      <c r="V101" s="76"/>
      <c r="W101" s="76"/>
      <c r="X101" s="76"/>
      <c r="Y101" s="80"/>
      <c r="Z101" s="76"/>
      <c r="AA101" s="76"/>
      <c r="AB101" s="76"/>
      <c r="AC101" s="76"/>
      <c r="AD101" s="76"/>
      <c r="AE101" s="80"/>
      <c r="AF101" s="76"/>
      <c r="AG101" s="76"/>
      <c r="AH101" s="76"/>
      <c r="AI101" s="76"/>
      <c r="AJ101" s="76"/>
      <c r="AK101" s="76"/>
      <c r="AL101" s="76"/>
      <c r="AM101" s="76"/>
      <c r="AN101" s="76"/>
      <c r="AO101" s="76"/>
      <c r="AP101" s="76"/>
      <c r="AQ101" s="76"/>
      <c r="AR101" s="76"/>
      <c r="AS101" s="76"/>
    </row>
    <row r="102" spans="1:45">
      <c r="A102" s="76"/>
      <c r="B102" s="76"/>
      <c r="C102" s="77"/>
      <c r="D102" s="77"/>
      <c r="E102" s="76"/>
      <c r="H102" s="76"/>
      <c r="I102" s="59"/>
      <c r="J102" s="58"/>
      <c r="K102" s="58"/>
      <c r="L102" s="58"/>
      <c r="M102" s="58"/>
      <c r="N102" s="58"/>
      <c r="O102" s="77"/>
      <c r="P102" s="76"/>
      <c r="Q102" s="76"/>
      <c r="R102" s="76"/>
      <c r="S102" s="80"/>
      <c r="T102" s="76"/>
      <c r="U102" s="76"/>
      <c r="V102" s="76"/>
      <c r="W102" s="76"/>
      <c r="X102" s="76"/>
      <c r="Y102" s="80"/>
      <c r="Z102" s="76"/>
      <c r="AA102" s="76"/>
      <c r="AB102" s="76"/>
      <c r="AC102" s="76"/>
      <c r="AD102" s="76"/>
      <c r="AE102" s="80"/>
      <c r="AF102" s="76"/>
      <c r="AG102" s="76"/>
      <c r="AH102" s="76"/>
      <c r="AI102" s="76"/>
      <c r="AJ102" s="76"/>
      <c r="AK102" s="76"/>
      <c r="AL102" s="76"/>
      <c r="AM102" s="76"/>
      <c r="AN102" s="76"/>
      <c r="AO102" s="76"/>
      <c r="AP102" s="76"/>
      <c r="AQ102" s="76"/>
      <c r="AR102" s="76"/>
      <c r="AS102" s="76"/>
    </row>
    <row r="103" spans="1:45">
      <c r="A103" s="76"/>
      <c r="B103" s="76"/>
      <c r="C103" s="77"/>
      <c r="D103" s="77"/>
      <c r="E103" s="76"/>
      <c r="H103" s="76"/>
      <c r="I103" s="59"/>
      <c r="J103" s="58"/>
      <c r="K103" s="58"/>
      <c r="L103" s="58"/>
      <c r="M103" s="58"/>
      <c r="N103" s="58"/>
      <c r="O103" s="77"/>
      <c r="P103" s="76"/>
      <c r="Q103" s="76"/>
      <c r="R103" s="76"/>
      <c r="S103" s="80"/>
      <c r="T103" s="76"/>
      <c r="U103" s="76"/>
      <c r="V103" s="76"/>
      <c r="W103" s="76"/>
      <c r="X103" s="76"/>
      <c r="Y103" s="80"/>
      <c r="Z103" s="76"/>
      <c r="AA103" s="76"/>
      <c r="AB103" s="76"/>
      <c r="AC103" s="76"/>
      <c r="AD103" s="76"/>
      <c r="AE103" s="80"/>
      <c r="AF103" s="76"/>
      <c r="AG103" s="76"/>
      <c r="AH103" s="76"/>
      <c r="AI103" s="76"/>
      <c r="AJ103" s="76"/>
      <c r="AK103" s="76"/>
      <c r="AL103" s="76"/>
      <c r="AM103" s="76"/>
      <c r="AN103" s="76"/>
      <c r="AO103" s="76"/>
      <c r="AP103" s="76"/>
      <c r="AQ103" s="76"/>
      <c r="AR103" s="76"/>
      <c r="AS103" s="76"/>
    </row>
    <row r="104" spans="1:45">
      <c r="A104" s="76"/>
      <c r="B104" s="76"/>
      <c r="C104" s="77"/>
      <c r="D104" s="77"/>
      <c r="E104" s="76"/>
      <c r="H104" s="76"/>
      <c r="I104" s="59"/>
      <c r="J104" s="58"/>
      <c r="K104" s="58"/>
      <c r="L104" s="58"/>
      <c r="M104" s="58"/>
      <c r="N104" s="58"/>
      <c r="O104" s="77"/>
      <c r="P104" s="76"/>
      <c r="Q104" s="76"/>
      <c r="R104" s="76"/>
      <c r="S104" s="80"/>
      <c r="T104" s="76"/>
      <c r="U104" s="76"/>
      <c r="V104" s="76"/>
      <c r="W104" s="76"/>
      <c r="X104" s="76"/>
      <c r="Y104" s="80"/>
      <c r="Z104" s="76"/>
      <c r="AA104" s="76"/>
      <c r="AB104" s="76"/>
      <c r="AC104" s="76"/>
      <c r="AD104" s="76"/>
      <c r="AE104" s="80"/>
      <c r="AF104" s="76"/>
      <c r="AG104" s="76"/>
      <c r="AH104" s="76"/>
      <c r="AI104" s="76"/>
      <c r="AJ104" s="76"/>
      <c r="AK104" s="76"/>
      <c r="AL104" s="76"/>
      <c r="AM104" s="76"/>
      <c r="AN104" s="76"/>
      <c r="AO104" s="76"/>
      <c r="AP104" s="76"/>
      <c r="AQ104" s="76"/>
      <c r="AR104" s="76"/>
      <c r="AS104" s="76"/>
    </row>
    <row r="105" spans="1:45">
      <c r="A105" s="76"/>
      <c r="B105" s="76"/>
      <c r="C105" s="77"/>
      <c r="D105" s="77"/>
      <c r="E105" s="76"/>
      <c r="H105" s="76"/>
      <c r="I105" s="59"/>
      <c r="J105" s="58"/>
      <c r="K105" s="58"/>
      <c r="L105" s="58"/>
      <c r="M105" s="58"/>
      <c r="N105" s="58"/>
      <c r="O105" s="77"/>
      <c r="P105" s="76"/>
      <c r="Q105" s="76"/>
      <c r="R105" s="76"/>
      <c r="S105" s="80"/>
      <c r="T105" s="76"/>
      <c r="U105" s="76"/>
      <c r="V105" s="76"/>
      <c r="W105" s="76"/>
      <c r="X105" s="76"/>
      <c r="Y105" s="80"/>
      <c r="Z105" s="76"/>
      <c r="AA105" s="76"/>
      <c r="AB105" s="76"/>
      <c r="AC105" s="76"/>
      <c r="AD105" s="76"/>
      <c r="AE105" s="80"/>
      <c r="AF105" s="76"/>
      <c r="AG105" s="76"/>
      <c r="AH105" s="76"/>
      <c r="AI105" s="76"/>
      <c r="AJ105" s="76"/>
      <c r="AK105" s="76"/>
      <c r="AL105" s="76"/>
      <c r="AM105" s="76"/>
      <c r="AN105" s="76"/>
      <c r="AO105" s="76"/>
      <c r="AP105" s="76"/>
      <c r="AQ105" s="76"/>
      <c r="AR105" s="76"/>
      <c r="AS105" s="76"/>
    </row>
    <row r="106" spans="1:45">
      <c r="A106" s="76"/>
      <c r="B106" s="76"/>
      <c r="C106" s="77"/>
      <c r="D106" s="77"/>
      <c r="E106" s="76"/>
      <c r="H106" s="76"/>
      <c r="I106" s="59"/>
      <c r="J106" s="58"/>
      <c r="K106" s="58"/>
      <c r="L106" s="58"/>
      <c r="M106" s="58"/>
      <c r="N106" s="58"/>
      <c r="O106" s="77"/>
      <c r="P106" s="76"/>
      <c r="Q106" s="76"/>
      <c r="R106" s="76"/>
      <c r="S106" s="80"/>
      <c r="T106" s="76"/>
      <c r="U106" s="76"/>
      <c r="V106" s="76"/>
      <c r="W106" s="76"/>
      <c r="X106" s="76"/>
      <c r="Y106" s="80"/>
      <c r="Z106" s="76"/>
      <c r="AA106" s="76"/>
      <c r="AB106" s="76"/>
      <c r="AC106" s="76"/>
      <c r="AD106" s="76"/>
      <c r="AE106" s="80"/>
      <c r="AF106" s="76"/>
      <c r="AG106" s="76"/>
      <c r="AH106" s="76"/>
      <c r="AI106" s="76"/>
      <c r="AJ106" s="76"/>
      <c r="AK106" s="76"/>
      <c r="AL106" s="76"/>
      <c r="AM106" s="76"/>
      <c r="AN106" s="76"/>
      <c r="AO106" s="76"/>
      <c r="AP106" s="76"/>
      <c r="AQ106" s="76"/>
      <c r="AR106" s="76"/>
      <c r="AS106" s="76"/>
    </row>
    <row r="107" spans="1:45">
      <c r="A107" s="76"/>
      <c r="B107" s="76"/>
      <c r="C107" s="77"/>
      <c r="D107" s="77"/>
      <c r="E107" s="76"/>
      <c r="H107" s="76"/>
      <c r="I107" s="59"/>
      <c r="J107" s="58"/>
      <c r="K107" s="58"/>
      <c r="L107" s="58"/>
      <c r="M107" s="58"/>
      <c r="N107" s="58"/>
      <c r="O107" s="77"/>
      <c r="P107" s="76"/>
      <c r="Q107" s="76"/>
      <c r="R107" s="76"/>
      <c r="S107" s="80"/>
      <c r="T107" s="76"/>
      <c r="U107" s="76"/>
      <c r="V107" s="76"/>
      <c r="W107" s="76"/>
      <c r="X107" s="76"/>
      <c r="Y107" s="80"/>
      <c r="Z107" s="76"/>
      <c r="AA107" s="76"/>
      <c r="AB107" s="76"/>
      <c r="AC107" s="76"/>
      <c r="AD107" s="76"/>
      <c r="AE107" s="80"/>
      <c r="AF107" s="76"/>
      <c r="AG107" s="76"/>
      <c r="AH107" s="76"/>
      <c r="AI107" s="76"/>
      <c r="AJ107" s="76"/>
      <c r="AK107" s="76"/>
      <c r="AL107" s="76"/>
      <c r="AM107" s="76"/>
      <c r="AN107" s="76"/>
      <c r="AO107" s="76"/>
      <c r="AP107" s="76"/>
      <c r="AQ107" s="76"/>
      <c r="AR107" s="76"/>
      <c r="AS107" s="76"/>
    </row>
    <row r="108" spans="1:45">
      <c r="A108" s="76"/>
      <c r="B108" s="76"/>
      <c r="C108" s="77"/>
      <c r="D108" s="77"/>
      <c r="E108" s="76"/>
      <c r="H108" s="76"/>
      <c r="I108" s="59"/>
      <c r="J108" s="58"/>
      <c r="K108" s="58"/>
      <c r="L108" s="58"/>
      <c r="M108" s="58"/>
      <c r="N108" s="58"/>
      <c r="O108" s="77"/>
      <c r="P108" s="76"/>
      <c r="Q108" s="76"/>
      <c r="R108" s="76"/>
      <c r="S108" s="80"/>
      <c r="T108" s="76"/>
      <c r="U108" s="76"/>
      <c r="V108" s="76"/>
      <c r="W108" s="76"/>
      <c r="X108" s="76"/>
      <c r="Y108" s="80"/>
      <c r="Z108" s="76"/>
      <c r="AA108" s="76"/>
      <c r="AB108" s="76"/>
      <c r="AC108" s="76"/>
      <c r="AD108" s="76"/>
      <c r="AE108" s="80"/>
      <c r="AF108" s="76"/>
      <c r="AG108" s="76"/>
      <c r="AH108" s="76"/>
      <c r="AI108" s="76"/>
      <c r="AJ108" s="76"/>
      <c r="AK108" s="76"/>
      <c r="AL108" s="76"/>
      <c r="AM108" s="76"/>
      <c r="AN108" s="76"/>
      <c r="AO108" s="76"/>
      <c r="AP108" s="76"/>
      <c r="AQ108" s="76"/>
      <c r="AR108" s="76"/>
      <c r="AS108" s="76"/>
    </row>
    <row r="109" spans="1:45">
      <c r="A109" s="76"/>
      <c r="B109" s="76"/>
      <c r="C109" s="77"/>
      <c r="D109" s="77"/>
      <c r="E109" s="76"/>
      <c r="H109" s="76"/>
      <c r="I109" s="59"/>
      <c r="J109" s="58"/>
      <c r="K109" s="58"/>
      <c r="L109" s="58"/>
      <c r="M109" s="58"/>
      <c r="N109" s="58"/>
      <c r="O109" s="77"/>
      <c r="P109" s="76"/>
      <c r="Q109" s="76"/>
      <c r="R109" s="76"/>
      <c r="S109" s="80"/>
      <c r="T109" s="76"/>
      <c r="U109" s="76"/>
      <c r="V109" s="76"/>
      <c r="W109" s="76"/>
      <c r="X109" s="76"/>
      <c r="Y109" s="80"/>
      <c r="Z109" s="76"/>
      <c r="AA109" s="76"/>
      <c r="AB109" s="76"/>
      <c r="AC109" s="76"/>
      <c r="AD109" s="76"/>
      <c r="AE109" s="80"/>
      <c r="AF109" s="76"/>
      <c r="AG109" s="76"/>
      <c r="AH109" s="76"/>
      <c r="AI109" s="76"/>
      <c r="AJ109" s="76"/>
      <c r="AK109" s="76"/>
      <c r="AL109" s="76"/>
      <c r="AM109" s="76"/>
      <c r="AN109" s="76"/>
      <c r="AO109" s="76"/>
      <c r="AP109" s="76"/>
      <c r="AQ109" s="76"/>
      <c r="AR109" s="76"/>
      <c r="AS109" s="76"/>
    </row>
    <row r="110" spans="1:45">
      <c r="A110" s="76"/>
      <c r="B110" s="76"/>
      <c r="C110" s="77"/>
      <c r="D110" s="77"/>
      <c r="E110" s="76"/>
      <c r="H110" s="76"/>
      <c r="I110" s="59"/>
      <c r="J110" s="58"/>
      <c r="K110" s="58"/>
      <c r="L110" s="58"/>
      <c r="M110" s="58"/>
      <c r="N110" s="58"/>
      <c r="O110" s="77"/>
      <c r="P110" s="76"/>
      <c r="Q110" s="76"/>
      <c r="R110" s="76"/>
      <c r="S110" s="80"/>
      <c r="T110" s="76"/>
      <c r="U110" s="76"/>
      <c r="V110" s="76"/>
      <c r="W110" s="76"/>
      <c r="X110" s="76"/>
      <c r="Y110" s="80"/>
      <c r="Z110" s="76"/>
      <c r="AA110" s="76"/>
      <c r="AB110" s="76"/>
      <c r="AC110" s="76"/>
      <c r="AD110" s="76"/>
      <c r="AE110" s="80"/>
      <c r="AF110" s="76"/>
      <c r="AG110" s="76"/>
      <c r="AH110" s="76"/>
      <c r="AI110" s="76"/>
      <c r="AJ110" s="76"/>
      <c r="AK110" s="76"/>
      <c r="AL110" s="76"/>
      <c r="AM110" s="76"/>
      <c r="AN110" s="76"/>
      <c r="AO110" s="76"/>
      <c r="AP110" s="76"/>
      <c r="AQ110" s="76"/>
      <c r="AR110" s="76"/>
      <c r="AS110" s="76"/>
    </row>
    <row r="111" spans="1:45">
      <c r="A111" s="76"/>
      <c r="B111" s="76"/>
      <c r="C111" s="77"/>
      <c r="D111" s="77"/>
      <c r="E111" s="76"/>
      <c r="H111" s="76"/>
      <c r="I111" s="59"/>
      <c r="J111" s="58"/>
      <c r="K111" s="58"/>
      <c r="L111" s="58"/>
      <c r="M111" s="58"/>
      <c r="N111" s="58"/>
      <c r="O111" s="77"/>
      <c r="P111" s="76"/>
      <c r="Q111" s="76"/>
      <c r="R111" s="76"/>
      <c r="S111" s="80"/>
      <c r="T111" s="76"/>
      <c r="U111" s="76"/>
      <c r="V111" s="76"/>
      <c r="W111" s="76"/>
      <c r="X111" s="76"/>
      <c r="Y111" s="80"/>
      <c r="Z111" s="76"/>
      <c r="AA111" s="76"/>
      <c r="AB111" s="76"/>
      <c r="AC111" s="76"/>
      <c r="AD111" s="76"/>
      <c r="AE111" s="80"/>
      <c r="AF111" s="76"/>
      <c r="AG111" s="76"/>
      <c r="AH111" s="76"/>
      <c r="AI111" s="76"/>
      <c r="AJ111" s="76"/>
      <c r="AK111" s="76"/>
      <c r="AL111" s="76"/>
      <c r="AM111" s="76"/>
      <c r="AN111" s="76"/>
      <c r="AO111" s="76"/>
      <c r="AP111" s="76"/>
      <c r="AQ111" s="76"/>
      <c r="AR111" s="76"/>
      <c r="AS111" s="76"/>
    </row>
    <row r="112" spans="1:45">
      <c r="A112" s="76"/>
      <c r="B112" s="76"/>
      <c r="C112" s="77"/>
      <c r="D112" s="77"/>
      <c r="E112" s="76"/>
      <c r="H112" s="76"/>
      <c r="I112" s="59"/>
      <c r="J112" s="58"/>
      <c r="K112" s="58"/>
      <c r="L112" s="58"/>
      <c r="M112" s="58"/>
      <c r="N112" s="58"/>
      <c r="O112" s="77"/>
      <c r="P112" s="76"/>
      <c r="Q112" s="76"/>
      <c r="R112" s="76"/>
      <c r="S112" s="80"/>
      <c r="T112" s="76"/>
      <c r="U112" s="76"/>
      <c r="V112" s="76"/>
      <c r="W112" s="76"/>
      <c r="X112" s="76"/>
      <c r="Y112" s="80"/>
      <c r="Z112" s="76"/>
      <c r="AA112" s="76"/>
      <c r="AB112" s="76"/>
      <c r="AC112" s="76"/>
      <c r="AD112" s="76"/>
      <c r="AE112" s="80"/>
      <c r="AF112" s="76"/>
      <c r="AG112" s="76"/>
      <c r="AH112" s="76"/>
      <c r="AI112" s="76"/>
      <c r="AJ112" s="76"/>
      <c r="AK112" s="76"/>
      <c r="AL112" s="76"/>
      <c r="AM112" s="76"/>
      <c r="AN112" s="76"/>
      <c r="AO112" s="76"/>
      <c r="AP112" s="76"/>
      <c r="AQ112" s="76"/>
      <c r="AR112" s="76"/>
      <c r="AS112" s="76"/>
    </row>
    <row r="113" spans="1:45">
      <c r="A113" s="76"/>
      <c r="B113" s="76"/>
      <c r="C113" s="77"/>
      <c r="D113" s="77"/>
      <c r="E113" s="76"/>
      <c r="H113" s="76"/>
      <c r="I113" s="59"/>
      <c r="J113" s="58"/>
      <c r="K113" s="58"/>
      <c r="L113" s="58"/>
      <c r="M113" s="58"/>
      <c r="N113" s="58"/>
      <c r="O113" s="77"/>
      <c r="P113" s="76"/>
      <c r="Q113" s="76"/>
      <c r="R113" s="76"/>
      <c r="S113" s="80"/>
      <c r="T113" s="76"/>
      <c r="U113" s="76"/>
      <c r="V113" s="76"/>
      <c r="W113" s="76"/>
      <c r="X113" s="76"/>
      <c r="Y113" s="80"/>
      <c r="Z113" s="76"/>
      <c r="AA113" s="76"/>
      <c r="AB113" s="76"/>
      <c r="AC113" s="76"/>
      <c r="AD113" s="76"/>
      <c r="AE113" s="80"/>
      <c r="AF113" s="76"/>
      <c r="AG113" s="76"/>
      <c r="AH113" s="76"/>
      <c r="AI113" s="76"/>
      <c r="AJ113" s="76"/>
      <c r="AK113" s="76"/>
      <c r="AL113" s="76"/>
      <c r="AM113" s="76"/>
      <c r="AN113" s="76"/>
      <c r="AO113" s="76"/>
      <c r="AP113" s="76"/>
      <c r="AQ113" s="76"/>
      <c r="AR113" s="76"/>
      <c r="AS113" s="76"/>
    </row>
    <row r="114" spans="1:45">
      <c r="A114" s="76"/>
      <c r="B114" s="76"/>
      <c r="C114" s="77"/>
      <c r="D114" s="77"/>
      <c r="E114" s="76"/>
      <c r="H114" s="76"/>
      <c r="I114" s="59"/>
      <c r="J114" s="58"/>
      <c r="K114" s="58"/>
      <c r="L114" s="58"/>
      <c r="M114" s="58"/>
      <c r="N114" s="58"/>
      <c r="O114" s="77"/>
      <c r="P114" s="76"/>
      <c r="Q114" s="76"/>
      <c r="R114" s="76"/>
      <c r="S114" s="80"/>
      <c r="T114" s="76"/>
      <c r="U114" s="76"/>
      <c r="V114" s="76"/>
      <c r="W114" s="76"/>
      <c r="X114" s="76"/>
      <c r="Y114" s="80"/>
      <c r="Z114" s="76"/>
      <c r="AA114" s="76"/>
      <c r="AB114" s="76"/>
      <c r="AC114" s="76"/>
      <c r="AD114" s="76"/>
      <c r="AE114" s="80"/>
      <c r="AF114" s="76"/>
      <c r="AG114" s="76"/>
      <c r="AH114" s="76"/>
      <c r="AI114" s="76"/>
      <c r="AJ114" s="76"/>
      <c r="AK114" s="76"/>
      <c r="AL114" s="76"/>
      <c r="AM114" s="76"/>
      <c r="AN114" s="76"/>
      <c r="AO114" s="76"/>
      <c r="AP114" s="76"/>
      <c r="AQ114" s="76"/>
      <c r="AR114" s="76"/>
      <c r="AS114" s="76"/>
    </row>
    <row r="115" spans="1:45">
      <c r="A115" s="76"/>
      <c r="B115" s="76"/>
      <c r="C115" s="77"/>
      <c r="D115" s="77"/>
      <c r="E115" s="76"/>
      <c r="H115" s="76"/>
      <c r="I115" s="59"/>
      <c r="J115" s="58"/>
      <c r="K115" s="58"/>
      <c r="L115" s="58"/>
      <c r="M115" s="58"/>
      <c r="N115" s="58"/>
      <c r="O115" s="77"/>
      <c r="P115" s="76"/>
      <c r="Q115" s="76"/>
      <c r="R115" s="76"/>
      <c r="S115" s="80"/>
      <c r="T115" s="76"/>
      <c r="U115" s="76"/>
      <c r="V115" s="76"/>
      <c r="W115" s="76"/>
      <c r="X115" s="76"/>
      <c r="Y115" s="80"/>
      <c r="Z115" s="76"/>
      <c r="AA115" s="76"/>
      <c r="AB115" s="76"/>
      <c r="AC115" s="76"/>
      <c r="AD115" s="76"/>
      <c r="AE115" s="80"/>
      <c r="AF115" s="76"/>
      <c r="AG115" s="76"/>
      <c r="AH115" s="76"/>
      <c r="AI115" s="76"/>
      <c r="AJ115" s="76"/>
      <c r="AK115" s="76"/>
      <c r="AL115" s="76"/>
      <c r="AM115" s="76"/>
      <c r="AN115" s="76"/>
      <c r="AO115" s="76"/>
      <c r="AP115" s="76"/>
      <c r="AQ115" s="76"/>
      <c r="AR115" s="76"/>
      <c r="AS115" s="76"/>
    </row>
    <row r="116" spans="1:45">
      <c r="A116" s="76"/>
      <c r="B116" s="76"/>
      <c r="C116" s="77"/>
      <c r="D116" s="77"/>
      <c r="E116" s="76"/>
      <c r="H116" s="76"/>
      <c r="I116" s="59"/>
      <c r="J116" s="58"/>
      <c r="K116" s="58"/>
      <c r="L116" s="58"/>
      <c r="M116" s="58"/>
      <c r="N116" s="58"/>
      <c r="O116" s="77"/>
      <c r="P116" s="76"/>
      <c r="Q116" s="76"/>
      <c r="R116" s="76"/>
      <c r="S116" s="80"/>
      <c r="T116" s="76"/>
      <c r="U116" s="76"/>
      <c r="V116" s="76"/>
      <c r="W116" s="76"/>
      <c r="X116" s="76"/>
      <c r="Y116" s="80"/>
      <c r="Z116" s="76"/>
      <c r="AA116" s="76"/>
      <c r="AB116" s="76"/>
      <c r="AC116" s="76"/>
      <c r="AD116" s="76"/>
      <c r="AE116" s="80"/>
      <c r="AF116" s="76"/>
      <c r="AG116" s="76"/>
      <c r="AH116" s="76"/>
      <c r="AI116" s="76"/>
      <c r="AJ116" s="76"/>
      <c r="AK116" s="76"/>
      <c r="AL116" s="76"/>
      <c r="AM116" s="76"/>
      <c r="AN116" s="76"/>
      <c r="AO116" s="76"/>
      <c r="AP116" s="76"/>
      <c r="AQ116" s="76"/>
      <c r="AR116" s="76"/>
      <c r="AS116" s="76"/>
    </row>
    <row r="117" spans="1:45">
      <c r="A117" s="76"/>
      <c r="B117" s="76"/>
      <c r="C117" s="77"/>
      <c r="D117" s="77"/>
      <c r="E117" s="76"/>
      <c r="H117" s="76"/>
      <c r="I117" s="59"/>
      <c r="J117" s="58"/>
      <c r="K117" s="58"/>
      <c r="L117" s="58"/>
      <c r="M117" s="58"/>
      <c r="N117" s="58"/>
      <c r="O117" s="77"/>
      <c r="P117" s="76"/>
      <c r="Q117" s="76"/>
      <c r="R117" s="76"/>
      <c r="S117" s="80"/>
      <c r="T117" s="76"/>
      <c r="U117" s="76"/>
      <c r="V117" s="76"/>
      <c r="W117" s="76"/>
      <c r="X117" s="76"/>
      <c r="Y117" s="80"/>
      <c r="Z117" s="76"/>
      <c r="AA117" s="76"/>
      <c r="AB117" s="76"/>
      <c r="AC117" s="76"/>
      <c r="AD117" s="76"/>
      <c r="AE117" s="80"/>
      <c r="AF117" s="76"/>
      <c r="AG117" s="76"/>
      <c r="AH117" s="76"/>
      <c r="AI117" s="76"/>
      <c r="AJ117" s="76"/>
      <c r="AK117" s="76"/>
      <c r="AL117" s="76"/>
      <c r="AM117" s="76"/>
      <c r="AN117" s="76"/>
      <c r="AO117" s="76"/>
      <c r="AP117" s="76"/>
      <c r="AQ117" s="76"/>
      <c r="AR117" s="76"/>
      <c r="AS117" s="76"/>
    </row>
    <row r="118" spans="1:45">
      <c r="A118" s="76"/>
      <c r="B118" s="76"/>
      <c r="C118" s="77"/>
      <c r="D118" s="77"/>
      <c r="E118" s="76"/>
      <c r="H118" s="76"/>
      <c r="I118" s="59"/>
      <c r="J118" s="58"/>
      <c r="K118" s="58"/>
      <c r="L118" s="58"/>
      <c r="M118" s="58"/>
      <c r="N118" s="58"/>
      <c r="O118" s="77"/>
      <c r="P118" s="76"/>
      <c r="Q118" s="76"/>
      <c r="R118" s="76"/>
      <c r="S118" s="80"/>
      <c r="T118" s="76"/>
      <c r="U118" s="76"/>
      <c r="V118" s="76"/>
      <c r="W118" s="76"/>
      <c r="X118" s="76"/>
      <c r="Y118" s="80"/>
      <c r="Z118" s="76"/>
      <c r="AA118" s="76"/>
      <c r="AB118" s="76"/>
      <c r="AC118" s="76"/>
      <c r="AD118" s="76"/>
      <c r="AE118" s="80"/>
      <c r="AF118" s="76"/>
      <c r="AG118" s="76"/>
      <c r="AH118" s="76"/>
      <c r="AI118" s="76"/>
      <c r="AJ118" s="76"/>
      <c r="AK118" s="76"/>
      <c r="AL118" s="76"/>
      <c r="AM118" s="76"/>
      <c r="AN118" s="76"/>
      <c r="AO118" s="76"/>
      <c r="AP118" s="76"/>
      <c r="AQ118" s="76"/>
      <c r="AR118" s="76"/>
      <c r="AS118" s="76"/>
    </row>
    <row r="119" spans="1:45">
      <c r="A119" s="76"/>
      <c r="B119" s="76"/>
      <c r="C119" s="77"/>
      <c r="D119" s="77"/>
      <c r="E119" s="76"/>
      <c r="H119" s="76"/>
      <c r="I119" s="59"/>
      <c r="J119" s="58"/>
      <c r="K119" s="58"/>
      <c r="L119" s="58"/>
      <c r="M119" s="58"/>
      <c r="N119" s="58"/>
      <c r="O119" s="77"/>
      <c r="P119" s="76"/>
      <c r="Q119" s="76"/>
      <c r="R119" s="76"/>
      <c r="S119" s="80"/>
      <c r="T119" s="76"/>
      <c r="U119" s="76"/>
      <c r="V119" s="76"/>
      <c r="W119" s="76"/>
      <c r="X119" s="76"/>
      <c r="Y119" s="80"/>
      <c r="Z119" s="76"/>
      <c r="AA119" s="76"/>
      <c r="AB119" s="76"/>
      <c r="AC119" s="76"/>
      <c r="AD119" s="76"/>
      <c r="AE119" s="80"/>
      <c r="AF119" s="76"/>
      <c r="AG119" s="76"/>
      <c r="AH119" s="76"/>
      <c r="AI119" s="76"/>
      <c r="AJ119" s="76"/>
      <c r="AK119" s="76"/>
      <c r="AL119" s="76"/>
      <c r="AM119" s="76"/>
      <c r="AN119" s="76"/>
      <c r="AO119" s="76"/>
      <c r="AP119" s="76"/>
      <c r="AQ119" s="76"/>
      <c r="AR119" s="76"/>
      <c r="AS119" s="76"/>
    </row>
    <row r="120" spans="1:45">
      <c r="A120" s="76"/>
      <c r="B120" s="76"/>
      <c r="C120" s="77"/>
      <c r="D120" s="77"/>
      <c r="E120" s="76"/>
      <c r="H120" s="76"/>
      <c r="I120" s="59"/>
      <c r="J120" s="58"/>
      <c r="K120" s="58"/>
      <c r="L120" s="58"/>
      <c r="M120" s="58"/>
      <c r="N120" s="58"/>
      <c r="O120" s="77"/>
      <c r="P120" s="76"/>
      <c r="Q120" s="76"/>
      <c r="R120" s="76"/>
      <c r="S120" s="80"/>
      <c r="T120" s="76"/>
      <c r="U120" s="76"/>
      <c r="V120" s="76"/>
      <c r="W120" s="76"/>
      <c r="X120" s="76"/>
      <c r="Y120" s="80"/>
      <c r="Z120" s="76"/>
      <c r="AA120" s="76"/>
      <c r="AB120" s="76"/>
      <c r="AC120" s="76"/>
      <c r="AD120" s="76"/>
      <c r="AE120" s="80"/>
      <c r="AF120" s="76"/>
      <c r="AG120" s="76"/>
      <c r="AH120" s="76"/>
      <c r="AI120" s="76"/>
      <c r="AJ120" s="76"/>
      <c r="AK120" s="76"/>
      <c r="AL120" s="76"/>
      <c r="AM120" s="76"/>
      <c r="AN120" s="76"/>
      <c r="AO120" s="76"/>
      <c r="AP120" s="76"/>
      <c r="AQ120" s="76"/>
      <c r="AR120" s="76"/>
      <c r="AS120" s="76"/>
    </row>
    <row r="121" spans="1:45">
      <c r="I121" s="59"/>
      <c r="J121" s="58"/>
      <c r="K121" s="58"/>
      <c r="L121" s="58"/>
      <c r="M121" s="58"/>
      <c r="N121" s="58"/>
    </row>
    <row r="122" spans="1:45">
      <c r="I122" s="59"/>
      <c r="J122" s="58"/>
      <c r="K122" s="58"/>
      <c r="L122" s="58"/>
      <c r="M122" s="58"/>
      <c r="N122" s="58"/>
    </row>
    <row r="123" spans="1:45">
      <c r="I123" s="59"/>
      <c r="J123" s="58"/>
      <c r="K123" s="58"/>
      <c r="L123" s="58"/>
      <c r="M123" s="58"/>
      <c r="N123" s="76"/>
    </row>
    <row r="124" spans="1:45">
      <c r="I124" s="59"/>
      <c r="J124" s="58"/>
      <c r="K124" s="58"/>
      <c r="L124" s="58"/>
      <c r="M124" s="58"/>
      <c r="N124" s="76"/>
    </row>
    <row r="125" spans="1:45">
      <c r="I125" s="59"/>
      <c r="J125" s="58"/>
      <c r="K125" s="58"/>
      <c r="L125" s="58"/>
      <c r="M125" s="58"/>
      <c r="N125" s="76"/>
    </row>
    <row r="126" spans="1:45">
      <c r="I126" s="59"/>
      <c r="J126" s="58"/>
      <c r="K126" s="58"/>
      <c r="L126" s="58"/>
      <c r="M126" s="58"/>
      <c r="N126" s="76"/>
    </row>
    <row r="127" spans="1:45">
      <c r="I127" s="59"/>
      <c r="J127" s="58"/>
      <c r="K127" s="58"/>
      <c r="L127" s="58"/>
      <c r="M127" s="58"/>
      <c r="N127" s="76"/>
    </row>
    <row r="128" spans="1:45">
      <c r="I128" s="59"/>
      <c r="J128" s="58"/>
      <c r="K128" s="58"/>
      <c r="L128" s="58"/>
      <c r="M128" s="58"/>
      <c r="N128" s="76"/>
    </row>
    <row r="129" spans="9:14">
      <c r="I129" s="59"/>
      <c r="J129" s="58"/>
      <c r="K129" s="58"/>
      <c r="L129" s="58"/>
      <c r="M129" s="58"/>
      <c r="N129" s="76"/>
    </row>
    <row r="130" spans="9:14">
      <c r="I130" s="59"/>
      <c r="J130" s="58"/>
      <c r="K130" s="58"/>
      <c r="L130" s="58"/>
      <c r="M130" s="58"/>
      <c r="N130" s="76"/>
    </row>
    <row r="131" spans="9:14">
      <c r="I131" s="59"/>
      <c r="J131" s="58"/>
      <c r="K131" s="58"/>
      <c r="L131" s="58"/>
      <c r="M131" s="58"/>
      <c r="N131" s="76"/>
    </row>
    <row r="132" spans="9:14">
      <c r="I132" s="59"/>
      <c r="J132" s="58"/>
      <c r="K132" s="58"/>
      <c r="L132" s="58"/>
      <c r="M132" s="58"/>
      <c r="N132" s="76"/>
    </row>
    <row r="133" spans="9:14">
      <c r="I133" s="77"/>
      <c r="J133" s="76"/>
      <c r="K133" s="76"/>
      <c r="L133" s="76"/>
      <c r="M133" s="76"/>
      <c r="N133" s="76"/>
    </row>
    <row r="134" spans="9:14">
      <c r="I134" s="77"/>
      <c r="J134" s="76"/>
      <c r="K134" s="76"/>
      <c r="L134" s="76"/>
      <c r="M134" s="76"/>
      <c r="N134" s="76"/>
    </row>
    <row r="135" spans="9:14">
      <c r="I135" s="77"/>
      <c r="J135" s="76"/>
      <c r="K135" s="76"/>
      <c r="L135" s="76"/>
      <c r="M135" s="76"/>
      <c r="N135" s="76"/>
    </row>
    <row r="136" spans="9:14">
      <c r="I136" s="77"/>
      <c r="J136" s="76"/>
      <c r="K136" s="76"/>
      <c r="L136" s="76"/>
      <c r="M136" s="76"/>
      <c r="N136" s="76"/>
    </row>
    <row r="137" spans="9:14">
      <c r="I137" s="77"/>
      <c r="J137" s="76"/>
      <c r="K137" s="76"/>
      <c r="L137" s="76"/>
      <c r="M137" s="76"/>
      <c r="N137" s="76"/>
    </row>
    <row r="138" spans="9:14">
      <c r="I138" s="77"/>
      <c r="J138" s="76"/>
      <c r="K138" s="76"/>
      <c r="L138" s="76"/>
      <c r="M138" s="76"/>
      <c r="N138" s="76"/>
    </row>
    <row r="139" spans="9:14">
      <c r="I139" s="77"/>
      <c r="J139" s="76"/>
      <c r="K139" s="76"/>
      <c r="L139" s="76"/>
      <c r="M139" s="76"/>
      <c r="N139" s="76"/>
    </row>
    <row r="140" spans="9:14">
      <c r="I140" s="77"/>
      <c r="J140" s="76"/>
      <c r="K140" s="76"/>
      <c r="L140" s="76"/>
      <c r="M140" s="76"/>
      <c r="N140" s="76"/>
    </row>
    <row r="141" spans="9:14">
      <c r="I141" s="77"/>
      <c r="J141" s="76"/>
      <c r="K141" s="76"/>
      <c r="L141" s="76"/>
      <c r="M141" s="76"/>
      <c r="N141" s="76"/>
    </row>
    <row r="142" spans="9:14">
      <c r="I142" s="77"/>
      <c r="J142" s="76"/>
      <c r="K142" s="76"/>
      <c r="L142" s="76"/>
      <c r="M142" s="76"/>
      <c r="N142" s="76"/>
    </row>
    <row r="143" spans="9:14">
      <c r="I143" s="77"/>
      <c r="J143" s="76"/>
      <c r="K143" s="76"/>
      <c r="L143" s="76"/>
      <c r="M143" s="76"/>
      <c r="N143" s="76"/>
    </row>
    <row r="144" spans="9:14">
      <c r="I144" s="77"/>
      <c r="J144" s="76"/>
      <c r="K144" s="76"/>
      <c r="L144" s="76"/>
      <c r="M144" s="76"/>
      <c r="N144" s="76"/>
    </row>
    <row r="145" spans="9:14">
      <c r="I145" s="77"/>
      <c r="J145" s="76"/>
      <c r="K145" s="76"/>
      <c r="L145" s="76"/>
      <c r="M145" s="76"/>
      <c r="N145" s="76"/>
    </row>
    <row r="146" spans="9:14">
      <c r="I146" s="77"/>
      <c r="J146" s="76"/>
      <c r="K146" s="76"/>
      <c r="L146" s="76"/>
      <c r="M146" s="76"/>
      <c r="N146" s="76"/>
    </row>
    <row r="147" spans="9:14">
      <c r="I147" s="77"/>
      <c r="J147" s="76"/>
      <c r="K147" s="76"/>
      <c r="L147" s="76"/>
      <c r="M147" s="76"/>
      <c r="N147" s="76"/>
    </row>
    <row r="148" spans="9:14">
      <c r="I148" s="77"/>
      <c r="J148" s="76"/>
      <c r="K148" s="76"/>
      <c r="L148" s="76"/>
      <c r="M148" s="76"/>
      <c r="N148" s="76"/>
    </row>
    <row r="149" spans="9:14">
      <c r="I149" s="77"/>
      <c r="J149" s="76"/>
      <c r="K149" s="76"/>
      <c r="L149" s="76"/>
      <c r="M149" s="76"/>
      <c r="N149" s="76"/>
    </row>
    <row r="150" spans="9:14">
      <c r="I150" s="77"/>
      <c r="J150" s="76"/>
      <c r="K150" s="76"/>
      <c r="L150" s="76"/>
      <c r="M150" s="76"/>
      <c r="N150" s="76"/>
    </row>
    <row r="151" spans="9:14">
      <c r="I151" s="77"/>
      <c r="J151" s="76"/>
      <c r="K151" s="76"/>
      <c r="L151" s="76"/>
      <c r="M151" s="76"/>
      <c r="N151" s="76"/>
    </row>
    <row r="152" spans="9:14">
      <c r="I152" s="77"/>
      <c r="J152" s="76"/>
      <c r="K152" s="76"/>
      <c r="L152" s="76"/>
      <c r="M152" s="76"/>
      <c r="N152" s="76"/>
    </row>
    <row r="153" spans="9:14">
      <c r="I153" s="77"/>
      <c r="J153" s="76"/>
      <c r="K153" s="76"/>
      <c r="L153" s="76"/>
      <c r="M153" s="76"/>
      <c r="N153" s="76"/>
    </row>
    <row r="154" spans="9:14">
      <c r="I154" s="77"/>
      <c r="J154" s="76"/>
      <c r="K154" s="76"/>
      <c r="L154" s="76"/>
      <c r="M154" s="76"/>
      <c r="N154" s="76"/>
    </row>
    <row r="155" spans="9:14">
      <c r="I155" s="77"/>
      <c r="J155" s="76"/>
      <c r="K155" s="76"/>
      <c r="L155" s="76"/>
      <c r="M155" s="76"/>
      <c r="N155" s="76"/>
    </row>
    <row r="156" spans="9:14">
      <c r="I156" s="77"/>
      <c r="J156" s="76"/>
      <c r="K156" s="76"/>
      <c r="L156" s="76"/>
      <c r="M156" s="76"/>
      <c r="N156" s="76"/>
    </row>
    <row r="157" spans="9:14">
      <c r="I157" s="77"/>
      <c r="J157" s="76"/>
      <c r="K157" s="76"/>
      <c r="L157" s="76"/>
      <c r="M157" s="76"/>
      <c r="N157" s="76"/>
    </row>
    <row r="158" spans="9:14">
      <c r="I158" s="77"/>
      <c r="J158" s="76"/>
      <c r="K158" s="76"/>
      <c r="L158" s="76"/>
      <c r="M158" s="76"/>
      <c r="N158" s="76"/>
    </row>
    <row r="159" spans="9:14">
      <c r="I159" s="77"/>
      <c r="J159" s="76"/>
      <c r="K159" s="76"/>
      <c r="L159" s="76"/>
      <c r="M159" s="76"/>
      <c r="N159" s="76"/>
    </row>
    <row r="160" spans="9:14">
      <c r="I160" s="77"/>
      <c r="J160" s="76"/>
      <c r="K160" s="76"/>
      <c r="L160" s="76"/>
      <c r="M160" s="76"/>
      <c r="N160" s="76"/>
    </row>
    <row r="161" spans="9:14">
      <c r="I161" s="77"/>
      <c r="J161" s="76"/>
      <c r="K161" s="76"/>
      <c r="L161" s="76"/>
      <c r="M161" s="76"/>
      <c r="N161" s="76"/>
    </row>
    <row r="162" spans="9:14">
      <c r="I162" s="77"/>
      <c r="J162" s="76"/>
      <c r="K162" s="76"/>
      <c r="L162" s="76"/>
      <c r="M162" s="76"/>
    </row>
    <row r="163" spans="9:14">
      <c r="I163" s="77"/>
      <c r="J163" s="76"/>
      <c r="K163" s="76"/>
      <c r="L163" s="76"/>
      <c r="M163" s="76"/>
    </row>
    <row r="164" spans="9:14">
      <c r="I164" s="77"/>
      <c r="J164" s="76"/>
      <c r="K164" s="76"/>
      <c r="L164" s="76"/>
      <c r="M164" s="76"/>
    </row>
    <row r="165" spans="9:14">
      <c r="I165" s="77"/>
      <c r="J165" s="76"/>
      <c r="K165" s="76"/>
      <c r="L165" s="76"/>
      <c r="M165" s="76"/>
    </row>
    <row r="166" spans="9:14">
      <c r="I166" s="77"/>
      <c r="J166" s="76"/>
      <c r="K166" s="76"/>
      <c r="L166" s="76"/>
      <c r="M166" s="76"/>
    </row>
    <row r="167" spans="9:14">
      <c r="I167" s="77"/>
      <c r="J167" s="76"/>
      <c r="K167" s="76"/>
      <c r="L167" s="76"/>
      <c r="M167" s="76"/>
    </row>
    <row r="168" spans="9:14">
      <c r="I168" s="77"/>
      <c r="J168" s="76"/>
      <c r="K168" s="76"/>
      <c r="L168" s="76"/>
      <c r="M168" s="76"/>
    </row>
    <row r="169" spans="9:14">
      <c r="I169" s="77"/>
      <c r="J169" s="76"/>
      <c r="K169" s="76"/>
      <c r="L169" s="76"/>
      <c r="M169" s="76"/>
    </row>
    <row r="170" spans="9:14">
      <c r="I170" s="77"/>
      <c r="J170" s="76"/>
      <c r="K170" s="76"/>
      <c r="L170" s="76"/>
      <c r="M170" s="76"/>
    </row>
    <row r="171" spans="9:14">
      <c r="I171" s="77"/>
      <c r="J171" s="76"/>
      <c r="K171" s="76"/>
      <c r="L171" s="76"/>
      <c r="M171" s="76"/>
    </row>
  </sheetData>
  <sortState xmlns:xlrd2="http://schemas.microsoft.com/office/spreadsheetml/2017/richdata2" ref="F2:G51">
    <sortCondition ref="F2:F51"/>
  </sortState>
  <mergeCells count="9">
    <mergeCell ref="I87:I88"/>
    <mergeCell ref="I91:I92"/>
    <mergeCell ref="O2:O3"/>
    <mergeCell ref="AS7:AS8"/>
    <mergeCell ref="O85:O86"/>
    <mergeCell ref="O89:O90"/>
    <mergeCell ref="AM8:AM9"/>
    <mergeCell ref="O77:O78"/>
    <mergeCell ref="O81:O82"/>
  </mergeCells>
  <conditionalFormatting sqref="P2">
    <cfRule type="expression" dxfId="95" priority="124">
      <formula>Q2&lt;Q3</formula>
    </cfRule>
  </conditionalFormatting>
  <conditionalFormatting sqref="P3">
    <cfRule type="expression" dxfId="94" priority="123">
      <formula>Q3&lt;Q2</formula>
    </cfRule>
  </conditionalFormatting>
  <conditionalFormatting sqref="P5">
    <cfRule type="expression" dxfId="93" priority="122">
      <formula>Q5&lt;Q4</formula>
    </cfRule>
  </conditionalFormatting>
  <conditionalFormatting sqref="P7">
    <cfRule type="expression" dxfId="92" priority="121">
      <formula>Q7&lt;Q6</formula>
    </cfRule>
  </conditionalFormatting>
  <conditionalFormatting sqref="P4">
    <cfRule type="expression" dxfId="91" priority="120">
      <formula>Q4&lt;Q5</formula>
    </cfRule>
  </conditionalFormatting>
  <conditionalFormatting sqref="P6">
    <cfRule type="expression" dxfId="90" priority="119">
      <formula>Q6&lt;Q7</formula>
    </cfRule>
  </conditionalFormatting>
  <conditionalFormatting sqref="P8">
    <cfRule type="expression" dxfId="89" priority="118">
      <formula>Q8&lt;Q9</formula>
    </cfRule>
  </conditionalFormatting>
  <conditionalFormatting sqref="P10">
    <cfRule type="expression" dxfId="88" priority="117">
      <formula>Q10&lt;Q11</formula>
    </cfRule>
  </conditionalFormatting>
  <conditionalFormatting sqref="P12">
    <cfRule type="expression" dxfId="87" priority="116">
      <formula>Q12&lt;Q13</formula>
    </cfRule>
  </conditionalFormatting>
  <conditionalFormatting sqref="P14">
    <cfRule type="expression" dxfId="86" priority="115">
      <formula>Q14&lt;Q15</formula>
    </cfRule>
  </conditionalFormatting>
  <conditionalFormatting sqref="P16">
    <cfRule type="expression" dxfId="85" priority="114">
      <formula>Q16&lt;Q17</formula>
    </cfRule>
  </conditionalFormatting>
  <conditionalFormatting sqref="P18">
    <cfRule type="expression" dxfId="84" priority="113">
      <formula>Q18&lt;Q19</formula>
    </cfRule>
  </conditionalFormatting>
  <conditionalFormatting sqref="P20">
    <cfRule type="expression" dxfId="83" priority="112">
      <formula>Q20&lt;Q21</formula>
    </cfRule>
  </conditionalFormatting>
  <conditionalFormatting sqref="P22">
    <cfRule type="expression" dxfId="82" priority="111">
      <formula>Q22&lt;Q23</formula>
    </cfRule>
  </conditionalFormatting>
  <conditionalFormatting sqref="P24">
    <cfRule type="expression" dxfId="81" priority="110">
      <formula>Q24&lt;Q25</formula>
    </cfRule>
  </conditionalFormatting>
  <conditionalFormatting sqref="P26">
    <cfRule type="expression" dxfId="80" priority="109">
      <formula>Q26&lt;Q27</formula>
    </cfRule>
  </conditionalFormatting>
  <conditionalFormatting sqref="P28">
    <cfRule type="expression" dxfId="79" priority="108">
      <formula>Q28&lt;Q29</formula>
    </cfRule>
  </conditionalFormatting>
  <conditionalFormatting sqref="P30">
    <cfRule type="expression" dxfId="78" priority="107">
      <formula>Q30&lt;Q31</formula>
    </cfRule>
  </conditionalFormatting>
  <conditionalFormatting sqref="P32">
    <cfRule type="expression" dxfId="77" priority="106">
      <formula>Q32&lt;Q33</formula>
    </cfRule>
  </conditionalFormatting>
  <conditionalFormatting sqref="P34">
    <cfRule type="expression" dxfId="76" priority="105">
      <formula>Q34&lt;Q35</formula>
    </cfRule>
  </conditionalFormatting>
  <conditionalFormatting sqref="P36">
    <cfRule type="expression" dxfId="75" priority="104">
      <formula>Q36&lt;Q37</formula>
    </cfRule>
  </conditionalFormatting>
  <conditionalFormatting sqref="P38">
    <cfRule type="expression" dxfId="74" priority="103">
      <formula>Q38&lt;Q39</formula>
    </cfRule>
  </conditionalFormatting>
  <conditionalFormatting sqref="P40">
    <cfRule type="expression" dxfId="73" priority="102">
      <formula>Q40&lt;Q41</formula>
    </cfRule>
  </conditionalFormatting>
  <conditionalFormatting sqref="P42">
    <cfRule type="expression" dxfId="72" priority="101">
      <formula>Q42&lt;Q43</formula>
    </cfRule>
  </conditionalFormatting>
  <conditionalFormatting sqref="P44">
    <cfRule type="expression" dxfId="71" priority="100">
      <formula>Q44&lt;Q45</formula>
    </cfRule>
  </conditionalFormatting>
  <conditionalFormatting sqref="P46">
    <cfRule type="expression" dxfId="70" priority="99">
      <formula>Q46&lt;Q47</formula>
    </cfRule>
  </conditionalFormatting>
  <conditionalFormatting sqref="P9">
    <cfRule type="expression" dxfId="69" priority="89">
      <formula>Q9&lt;Q8</formula>
    </cfRule>
  </conditionalFormatting>
  <conditionalFormatting sqref="P11">
    <cfRule type="expression" dxfId="68" priority="88">
      <formula>Q11&lt;Q10</formula>
    </cfRule>
  </conditionalFormatting>
  <conditionalFormatting sqref="P15">
    <cfRule type="expression" dxfId="67" priority="86">
      <formula>Q15&lt;Q14</formula>
    </cfRule>
  </conditionalFormatting>
  <conditionalFormatting sqref="P17">
    <cfRule type="expression" dxfId="66" priority="85">
      <formula>Q17&lt;Q16</formula>
    </cfRule>
  </conditionalFormatting>
  <conditionalFormatting sqref="P19">
    <cfRule type="expression" dxfId="65" priority="84">
      <formula>Q19&lt;Q18</formula>
    </cfRule>
  </conditionalFormatting>
  <conditionalFormatting sqref="P23">
    <cfRule type="expression" dxfId="64" priority="83">
      <formula>Q23&lt;Q22</formula>
    </cfRule>
  </conditionalFormatting>
  <conditionalFormatting sqref="P25">
    <cfRule type="expression" dxfId="63" priority="82">
      <formula>Q25&lt;Q24</formula>
    </cfRule>
  </conditionalFormatting>
  <conditionalFormatting sqref="P27">
    <cfRule type="expression" dxfId="62" priority="81">
      <formula>Q27&lt;Q26</formula>
    </cfRule>
  </conditionalFormatting>
  <conditionalFormatting sqref="P29">
    <cfRule type="expression" dxfId="61" priority="80">
      <formula>Q29&lt;Q28</formula>
    </cfRule>
  </conditionalFormatting>
  <conditionalFormatting sqref="P31">
    <cfRule type="expression" dxfId="60" priority="79">
      <formula>Q31&lt;Q30</formula>
    </cfRule>
  </conditionalFormatting>
  <conditionalFormatting sqref="P33">
    <cfRule type="expression" dxfId="59" priority="78">
      <formula>Q33&lt;Q32</formula>
    </cfRule>
  </conditionalFormatting>
  <conditionalFormatting sqref="P35">
    <cfRule type="expression" dxfId="58" priority="77">
      <formula>Q35&lt;Q34</formula>
    </cfRule>
  </conditionalFormatting>
  <conditionalFormatting sqref="P37">
    <cfRule type="expression" dxfId="57" priority="76">
      <formula>Q37&lt;Q36</formula>
    </cfRule>
  </conditionalFormatting>
  <conditionalFormatting sqref="P39">
    <cfRule type="expression" dxfId="56" priority="75">
      <formula>Q39&lt;Q38</formula>
    </cfRule>
  </conditionalFormatting>
  <conditionalFormatting sqref="P41">
    <cfRule type="expression" dxfId="55" priority="74">
      <formula>Q41&lt;Q40</formula>
    </cfRule>
  </conditionalFormatting>
  <conditionalFormatting sqref="P43">
    <cfRule type="expression" dxfId="54" priority="73">
      <formula>Q43&lt;Q42</formula>
    </cfRule>
  </conditionalFormatting>
  <conditionalFormatting sqref="P45">
    <cfRule type="expression" dxfId="53" priority="71">
      <formula>Q45&lt;Q44</formula>
    </cfRule>
  </conditionalFormatting>
  <conditionalFormatting sqref="V2">
    <cfRule type="expression" dxfId="52" priority="60">
      <formula>W2&lt;W3</formula>
    </cfRule>
  </conditionalFormatting>
  <conditionalFormatting sqref="V3">
    <cfRule type="expression" dxfId="51" priority="59">
      <formula>W3&lt;W2</formula>
    </cfRule>
  </conditionalFormatting>
  <conditionalFormatting sqref="V4">
    <cfRule type="expression" dxfId="50" priority="58">
      <formula>W4&lt;W5</formula>
    </cfRule>
  </conditionalFormatting>
  <conditionalFormatting sqref="V5">
    <cfRule type="expression" dxfId="49" priority="57">
      <formula>W5&lt;W4</formula>
    </cfRule>
  </conditionalFormatting>
  <conditionalFormatting sqref="V6">
    <cfRule type="expression" dxfId="48" priority="56">
      <formula>W6&lt;W7</formula>
    </cfRule>
  </conditionalFormatting>
  <conditionalFormatting sqref="V7">
    <cfRule type="expression" dxfId="47" priority="55">
      <formula>W7&lt;W6</formula>
    </cfRule>
  </conditionalFormatting>
  <conditionalFormatting sqref="V8">
    <cfRule type="expression" dxfId="46" priority="54">
      <formula>W8&lt;W9</formula>
    </cfRule>
  </conditionalFormatting>
  <conditionalFormatting sqref="V9">
    <cfRule type="expression" dxfId="45" priority="53">
      <formula>W9&lt;W8</formula>
    </cfRule>
  </conditionalFormatting>
  <conditionalFormatting sqref="V10">
    <cfRule type="expression" dxfId="44" priority="52">
      <formula>W10&lt;W11</formula>
    </cfRule>
  </conditionalFormatting>
  <conditionalFormatting sqref="V11">
    <cfRule type="expression" dxfId="43" priority="51">
      <formula>W11&lt;W10</formula>
    </cfRule>
  </conditionalFormatting>
  <conditionalFormatting sqref="V12">
    <cfRule type="expression" dxfId="42" priority="50">
      <formula>W12&lt;W13</formula>
    </cfRule>
  </conditionalFormatting>
  <conditionalFormatting sqref="V13">
    <cfRule type="expression" dxfId="41" priority="49">
      <formula>W13&lt;W12</formula>
    </cfRule>
  </conditionalFormatting>
  <conditionalFormatting sqref="V14">
    <cfRule type="expression" dxfId="40" priority="48">
      <formula>W14&lt;W15</formula>
    </cfRule>
  </conditionalFormatting>
  <conditionalFormatting sqref="V15">
    <cfRule type="expression" dxfId="39" priority="47">
      <formula>W15&lt;W14</formula>
    </cfRule>
  </conditionalFormatting>
  <conditionalFormatting sqref="V16">
    <cfRule type="expression" dxfId="38" priority="46">
      <formula>W16&lt;W17</formula>
    </cfRule>
  </conditionalFormatting>
  <conditionalFormatting sqref="V17">
    <cfRule type="expression" dxfId="37" priority="45">
      <formula>W17&lt;W16</formula>
    </cfRule>
  </conditionalFormatting>
  <conditionalFormatting sqref="V18">
    <cfRule type="expression" dxfId="36" priority="44">
      <formula>W18&lt;W19</formula>
    </cfRule>
  </conditionalFormatting>
  <conditionalFormatting sqref="V19">
    <cfRule type="expression" dxfId="35" priority="43">
      <formula>W19&lt;W18</formula>
    </cfRule>
  </conditionalFormatting>
  <conditionalFormatting sqref="V20">
    <cfRule type="expression" dxfId="34" priority="42">
      <formula>W20&lt;W21</formula>
    </cfRule>
  </conditionalFormatting>
  <conditionalFormatting sqref="V21">
    <cfRule type="expression" dxfId="33" priority="41">
      <formula>W21&lt;W20</formula>
    </cfRule>
  </conditionalFormatting>
  <conditionalFormatting sqref="V22">
    <cfRule type="expression" dxfId="32" priority="40">
      <formula>W22&lt;W23</formula>
    </cfRule>
  </conditionalFormatting>
  <conditionalFormatting sqref="V23">
    <cfRule type="expression" dxfId="31" priority="39">
      <formula>W23&lt;W22</formula>
    </cfRule>
  </conditionalFormatting>
  <conditionalFormatting sqref="V24">
    <cfRule type="expression" dxfId="30" priority="38">
      <formula>W24&lt;W25</formula>
    </cfRule>
  </conditionalFormatting>
  <conditionalFormatting sqref="V25">
    <cfRule type="expression" dxfId="29" priority="37">
      <formula>W25&lt;W24</formula>
    </cfRule>
  </conditionalFormatting>
  <conditionalFormatting sqref="V26">
    <cfRule type="expression" dxfId="28" priority="36">
      <formula>W26&lt;W27</formula>
    </cfRule>
  </conditionalFormatting>
  <conditionalFormatting sqref="V27">
    <cfRule type="expression" dxfId="27" priority="35">
      <formula>W27&lt;W26</formula>
    </cfRule>
  </conditionalFormatting>
  <conditionalFormatting sqref="V28">
    <cfRule type="expression" dxfId="26" priority="34">
      <formula>W28&lt;W29</formula>
    </cfRule>
  </conditionalFormatting>
  <conditionalFormatting sqref="V29">
    <cfRule type="expression" dxfId="25" priority="33">
      <formula>W29&lt;W28</formula>
    </cfRule>
  </conditionalFormatting>
  <conditionalFormatting sqref="V30">
    <cfRule type="expression" dxfId="24" priority="32">
      <formula>W30&lt;W31</formula>
    </cfRule>
  </conditionalFormatting>
  <conditionalFormatting sqref="V31">
    <cfRule type="expression" dxfId="23" priority="31">
      <formula>W31&lt;W30</formula>
    </cfRule>
  </conditionalFormatting>
  <conditionalFormatting sqref="V32">
    <cfRule type="expression" dxfId="22" priority="30">
      <formula>W32&lt;W33</formula>
    </cfRule>
  </conditionalFormatting>
  <conditionalFormatting sqref="V33">
    <cfRule type="expression" dxfId="21" priority="29">
      <formula>W33&lt;W32</formula>
    </cfRule>
  </conditionalFormatting>
  <conditionalFormatting sqref="AB2">
    <cfRule type="expression" dxfId="20" priority="28">
      <formula>AC2&lt;AC3</formula>
    </cfRule>
  </conditionalFormatting>
  <conditionalFormatting sqref="AB3">
    <cfRule type="expression" dxfId="19" priority="27">
      <formula>AC3&lt;AC2</formula>
    </cfRule>
  </conditionalFormatting>
  <conditionalFormatting sqref="AB4 AB6 AB8 AB10 AB12 AB14 AB16">
    <cfRule type="expression" dxfId="18" priority="26">
      <formula>AC4&lt;AC5</formula>
    </cfRule>
  </conditionalFormatting>
  <conditionalFormatting sqref="AB5 AB7 AB9 AB11 AB13 AB15 AB17">
    <cfRule type="expression" dxfId="17" priority="25">
      <formula>AC5&lt;AC4</formula>
    </cfRule>
  </conditionalFormatting>
  <conditionalFormatting sqref="AH2">
    <cfRule type="expression" dxfId="16" priority="24">
      <formula>AI2&lt;AI3</formula>
    </cfRule>
  </conditionalFormatting>
  <conditionalFormatting sqref="AH3">
    <cfRule type="expression" dxfId="15" priority="23">
      <formula>AI3&lt;AI2</formula>
    </cfRule>
  </conditionalFormatting>
  <conditionalFormatting sqref="AH4 AH6 AH8">
    <cfRule type="expression" dxfId="14" priority="22">
      <formula>AI4&lt;AI5</formula>
    </cfRule>
  </conditionalFormatting>
  <conditionalFormatting sqref="AH5 AH7 AH9">
    <cfRule type="expression" dxfId="13" priority="21">
      <formula>AI5&lt;AI4</formula>
    </cfRule>
  </conditionalFormatting>
  <conditionalFormatting sqref="AN2">
    <cfRule type="expression" dxfId="12" priority="20">
      <formula>AO2&lt;AO3</formula>
    </cfRule>
  </conditionalFormatting>
  <conditionalFormatting sqref="AN3">
    <cfRule type="expression" dxfId="11" priority="19">
      <formula>AO3&lt;AO2</formula>
    </cfRule>
  </conditionalFormatting>
  <conditionalFormatting sqref="AN4">
    <cfRule type="expression" dxfId="10" priority="18">
      <formula>AO4&lt;AO5</formula>
    </cfRule>
  </conditionalFormatting>
  <conditionalFormatting sqref="AN5">
    <cfRule type="expression" dxfId="9" priority="17">
      <formula>AO5&lt;AO4</formula>
    </cfRule>
  </conditionalFormatting>
  <conditionalFormatting sqref="P13">
    <cfRule type="expression" dxfId="8" priority="16">
      <formula>Q13&lt;Q12</formula>
    </cfRule>
  </conditionalFormatting>
  <conditionalFormatting sqref="V38">
    <cfRule type="expression" dxfId="7" priority="15">
      <formula>W38&lt;W39</formula>
    </cfRule>
  </conditionalFormatting>
  <conditionalFormatting sqref="V39">
    <cfRule type="expression" dxfId="6" priority="14">
      <formula>W39&lt;W38</formula>
    </cfRule>
  </conditionalFormatting>
  <conditionalFormatting sqref="P47">
    <cfRule type="expression" dxfId="5" priority="13">
      <formula>Q47&lt;Q46</formula>
    </cfRule>
  </conditionalFormatting>
  <conditionalFormatting sqref="P21">
    <cfRule type="expression" dxfId="4" priority="3">
      <formula>Q21&lt;Q20</formula>
    </cfRule>
  </conditionalFormatting>
  <conditionalFormatting sqref="P48 P50 P52 P54 P56 P58 P60 P62 P64">
    <cfRule type="expression" dxfId="3" priority="2">
      <formula>Q48&lt;Q49</formula>
    </cfRule>
  </conditionalFormatting>
  <conditionalFormatting sqref="P49 P51 P53 P55 P57 P59 P61 P63 P65">
    <cfRule type="expression" dxfId="2" priority="1">
      <formula>Q49&lt;Q48</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V157"/>
  <sheetViews>
    <sheetView workbookViewId="0">
      <selection activeCell="B5" sqref="B5"/>
    </sheetView>
  </sheetViews>
  <sheetFormatPr defaultRowHeight="12.75"/>
  <cols>
    <col min="1" max="1" width="2.73046875" customWidth="1"/>
    <col min="2" max="2" width="20" customWidth="1"/>
    <col min="3" max="3" width="4.53125" customWidth="1"/>
    <col min="6" max="6" width="10.86328125" customWidth="1"/>
    <col min="7" max="7" width="3.1328125" customWidth="1"/>
    <col min="8" max="8" width="8.86328125" customWidth="1"/>
    <col min="9" max="10" width="9.1328125" customWidth="1"/>
    <col min="11" max="11" width="8.6640625" customWidth="1"/>
  </cols>
  <sheetData>
    <row r="1" spans="1:22" ht="29.1" customHeight="1">
      <c r="A1" s="361" t="s">
        <v>342</v>
      </c>
      <c r="B1" s="597" t="str">
        <f>"Round "&amp;CurrentWeek</f>
        <v>Round 15</v>
      </c>
      <c r="C1" s="76"/>
      <c r="D1" s="76"/>
      <c r="E1" s="76"/>
      <c r="F1" s="76"/>
      <c r="G1" s="76"/>
      <c r="H1" s="76"/>
      <c r="I1" s="76"/>
      <c r="J1" s="76"/>
      <c r="K1" s="76"/>
      <c r="L1" s="76"/>
      <c r="M1" s="76"/>
      <c r="N1" s="76"/>
      <c r="O1" s="76"/>
      <c r="P1" s="76"/>
      <c r="Q1" s="76"/>
      <c r="R1" s="76"/>
    </row>
    <row r="2" spans="1:22">
      <c r="A2" s="76"/>
      <c r="B2" s="76"/>
      <c r="C2" s="76"/>
      <c r="D2" s="153"/>
      <c r="E2" s="153"/>
      <c r="F2" s="153" t="s">
        <v>25</v>
      </c>
      <c r="G2" s="80"/>
      <c r="H2" s="80"/>
      <c r="I2" s="80"/>
      <c r="J2" s="80"/>
      <c r="K2" s="157" t="s">
        <v>171</v>
      </c>
      <c r="L2" s="157" t="s">
        <v>172</v>
      </c>
      <c r="M2" s="157" t="s">
        <v>173</v>
      </c>
      <c r="N2" s="157" t="s">
        <v>174</v>
      </c>
      <c r="O2" s="157" t="s">
        <v>175</v>
      </c>
      <c r="P2" s="157" t="s">
        <v>176</v>
      </c>
      <c r="Q2" s="157" t="s">
        <v>177</v>
      </c>
      <c r="R2" s="76"/>
    </row>
    <row r="3" spans="1:22">
      <c r="A3" s="76"/>
      <c r="B3" s="326">
        <f>COUNTIF($B4:$B6,"")</f>
        <v>0</v>
      </c>
      <c r="C3" s="76"/>
      <c r="D3" s="154" t="s">
        <v>158</v>
      </c>
      <c r="E3" s="154" t="s">
        <v>159</v>
      </c>
      <c r="F3" s="155" t="s">
        <v>13</v>
      </c>
      <c r="G3" s="80"/>
      <c r="H3" s="150">
        <f>E4</f>
        <v>3.2</v>
      </c>
      <c r="I3" s="150">
        <f>E5</f>
        <v>1.5333333333333332</v>
      </c>
      <c r="J3" s="150">
        <f>E6</f>
        <v>2</v>
      </c>
      <c r="K3" s="596">
        <f>IF(B3&lt;&gt;0,"",H3)</f>
        <v>3.2</v>
      </c>
      <c r="L3" s="151">
        <f>IF(B3&lt;&gt;0,"",I3)</f>
        <v>1.5333333333333332</v>
      </c>
      <c r="M3" s="151">
        <f>IF(B3&lt;&gt;0,"",J3)</f>
        <v>2</v>
      </c>
      <c r="N3" s="596">
        <f>IF(B3&lt;&gt;0,"",H3*I3)</f>
        <v>4.9066666666666663</v>
      </c>
      <c r="O3" s="151">
        <f>IF(B3&lt;&gt;0,"",I3*J3)</f>
        <v>3.0666666666666664</v>
      </c>
      <c r="P3" s="151">
        <f>IF(B3&lt;&gt;0,"",H3*J3)</f>
        <v>6.4</v>
      </c>
      <c r="Q3" s="151">
        <f>IF(B3&lt;&gt;0,"",N3*J3)</f>
        <v>9.8133333333333326</v>
      </c>
      <c r="R3" s="76"/>
    </row>
    <row r="4" spans="1:22" ht="16.149999999999999" thickBot="1">
      <c r="A4" s="598">
        <v>1</v>
      </c>
      <c r="B4" s="89" t="s">
        <v>570</v>
      </c>
      <c r="C4" s="156" t="s">
        <v>181</v>
      </c>
      <c r="D4" s="595" t="str">
        <f>IF(B3&lt;&gt;0,"",INDEX(Odds!H:H,MATCH(B4,Odds!G:G,0)))</f>
        <v>11/5</v>
      </c>
      <c r="E4" s="596">
        <f>IF(B3&lt;&gt;0,"",INDEX(Odds!I:I,MATCH(B4,Odds!G:G,0)))</f>
        <v>3.2</v>
      </c>
      <c r="F4" s="149">
        <v>1</v>
      </c>
      <c r="G4" s="80"/>
      <c r="H4" s="80"/>
      <c r="I4" s="80"/>
      <c r="J4" s="80"/>
      <c r="K4" s="80"/>
      <c r="L4" s="80"/>
      <c r="M4" s="80"/>
      <c r="N4" s="383" t="s">
        <v>501</v>
      </c>
      <c r="O4" s="383" t="s">
        <v>500</v>
      </c>
      <c r="P4" s="383" t="s">
        <v>502</v>
      </c>
      <c r="Q4" s="383" t="s">
        <v>503</v>
      </c>
      <c r="R4" s="76"/>
    </row>
    <row r="5" spans="1:22" ht="15.75">
      <c r="A5" s="598">
        <v>2</v>
      </c>
      <c r="B5" s="89" t="s">
        <v>517</v>
      </c>
      <c r="C5" s="156" t="s">
        <v>181</v>
      </c>
      <c r="D5" s="595" t="str">
        <f>IF(B3&lt;&gt;0,"",INDEX(Odds!H:H,MATCH(B5,Odds!G:G,0)))</f>
        <v>8/15</v>
      </c>
      <c r="E5" s="596">
        <f>IF(B3&lt;&gt;0,"",INDEX(Odds!I:I,MATCH(B5,Odds!G:G,0)))</f>
        <v>1.5333333333333332</v>
      </c>
      <c r="F5" s="149">
        <v>1</v>
      </c>
      <c r="G5" s="80"/>
      <c r="H5" s="80"/>
      <c r="I5" s="80"/>
      <c r="J5" s="80"/>
      <c r="K5" s="5" t="s">
        <v>13</v>
      </c>
      <c r="L5" s="5" t="s">
        <v>28</v>
      </c>
      <c r="M5" s="76"/>
      <c r="N5" s="76"/>
      <c r="O5" s="80"/>
      <c r="P5" s="80"/>
      <c r="Q5" s="80"/>
      <c r="R5" s="76"/>
    </row>
    <row r="6" spans="1:22" ht="16.149999999999999" thickBot="1">
      <c r="A6" s="598">
        <v>3</v>
      </c>
      <c r="B6" s="89" t="s">
        <v>571</v>
      </c>
      <c r="C6" s="156" t="s">
        <v>181</v>
      </c>
      <c r="D6" s="595" t="str">
        <f>IF(B3&lt;&gt;0,"",INDEX(Odds!H:H,MATCH(B6,Odds!G:G,0)))</f>
        <v>1/1</v>
      </c>
      <c r="E6" s="596">
        <f>IF(B3&lt;&gt;0,"",INDEX(Odds!I:I,MATCH(B6,Odds!G:G,0)))</f>
        <v>2</v>
      </c>
      <c r="F6" s="149">
        <v>1</v>
      </c>
      <c r="G6" s="80"/>
      <c r="H6" s="80"/>
      <c r="I6" s="80"/>
      <c r="J6" s="80"/>
      <c r="K6" s="6">
        <f>IF(B3&lt;&gt;0,"",SUM(F4:F6))</f>
        <v>3</v>
      </c>
      <c r="L6" s="7">
        <f>IF(B3&lt;&gt;0,"",SUM(K3:Q3)-7)</f>
        <v>23.92</v>
      </c>
      <c r="M6" s="76"/>
      <c r="N6" s="76"/>
      <c r="O6" s="80"/>
      <c r="P6" s="80"/>
      <c r="Q6" s="80"/>
      <c r="R6" s="76"/>
    </row>
    <row r="7" spans="1:22">
      <c r="A7" s="76"/>
      <c r="B7" s="76"/>
      <c r="C7" s="76"/>
      <c r="D7" s="80"/>
      <c r="E7" s="596" t="str">
        <f>IF(B4&lt;&gt;0,"",INDEX(Odds!I:I,MATCH(B7,Odds!G:G,0)))</f>
        <v/>
      </c>
      <c r="F7" s="80"/>
      <c r="G7" s="80"/>
      <c r="H7" s="76"/>
      <c r="I7" s="76"/>
      <c r="J7" s="80"/>
      <c r="K7" s="80"/>
      <c r="L7" s="80"/>
      <c r="M7" s="80"/>
      <c r="N7" s="80"/>
      <c r="O7" s="80"/>
      <c r="P7" s="80"/>
      <c r="Q7" s="80"/>
      <c r="R7" s="80"/>
    </row>
    <row r="8" spans="1:22">
      <c r="A8" s="76"/>
      <c r="B8" s="76"/>
      <c r="C8" s="76"/>
      <c r="D8" s="80"/>
      <c r="E8" s="80"/>
      <c r="F8" s="80"/>
      <c r="G8" s="80"/>
      <c r="H8" s="76"/>
      <c r="I8" s="76"/>
      <c r="J8" s="80"/>
      <c r="K8" s="80"/>
      <c r="L8" s="80"/>
      <c r="M8" s="80"/>
      <c r="N8" s="80"/>
      <c r="O8" s="80"/>
      <c r="P8" s="80"/>
      <c r="Q8" s="80"/>
      <c r="R8" s="80"/>
    </row>
    <row r="9" spans="1:22">
      <c r="A9" s="76"/>
      <c r="B9" s="76"/>
      <c r="C9" s="76"/>
      <c r="D9" s="153" t="s">
        <v>178</v>
      </c>
      <c r="E9" s="153" t="s">
        <v>178</v>
      </c>
      <c r="F9" s="153" t="s">
        <v>25</v>
      </c>
      <c r="G9" s="80"/>
      <c r="H9" s="80"/>
      <c r="I9" s="80"/>
      <c r="J9" s="80"/>
      <c r="K9" s="157" t="s">
        <v>171</v>
      </c>
      <c r="L9" s="157" t="s">
        <v>172</v>
      </c>
      <c r="M9" s="157" t="s">
        <v>173</v>
      </c>
      <c r="N9" s="157" t="s">
        <v>174</v>
      </c>
      <c r="O9" s="157" t="s">
        <v>175</v>
      </c>
      <c r="P9" s="157" t="s">
        <v>176</v>
      </c>
      <c r="Q9" s="157" t="s">
        <v>177</v>
      </c>
      <c r="R9" s="80"/>
    </row>
    <row r="10" spans="1:22">
      <c r="A10" s="76"/>
      <c r="B10" s="76"/>
      <c r="C10" s="76"/>
      <c r="D10" s="155" t="s">
        <v>26</v>
      </c>
      <c r="E10" s="155" t="s">
        <v>27</v>
      </c>
      <c r="F10" s="155" t="s">
        <v>13</v>
      </c>
      <c r="G10" s="80"/>
      <c r="H10" s="150">
        <f>E11</f>
        <v>3.2</v>
      </c>
      <c r="I10" s="150">
        <f>E13</f>
        <v>2</v>
      </c>
      <c r="J10" s="150">
        <f>E13</f>
        <v>2</v>
      </c>
      <c r="K10" s="596">
        <f>IF(B10&lt;&gt;0,"",H10)</f>
        <v>3.2</v>
      </c>
      <c r="L10" s="151">
        <f>IF(B10&lt;&gt;0,"",I10)</f>
        <v>2</v>
      </c>
      <c r="M10" s="151">
        <f>IF(B10&lt;&gt;0,"",J10)</f>
        <v>2</v>
      </c>
      <c r="N10" s="596">
        <f>IF(B10&lt;&gt;0,"",H10*I10)</f>
        <v>6.4</v>
      </c>
      <c r="O10" s="151">
        <f>IF(B10&lt;&gt;0,"",I10*J10)</f>
        <v>4</v>
      </c>
      <c r="P10" s="151">
        <f>IF(B10&lt;&gt;0,"",H10*J10)</f>
        <v>6.4</v>
      </c>
      <c r="Q10" s="151">
        <f>IF(B10&lt;&gt;0,"",N10*J10)</f>
        <v>12.8</v>
      </c>
      <c r="R10" s="80"/>
    </row>
    <row r="11" spans="1:22" ht="16.149999999999999" thickBot="1">
      <c r="A11" s="598">
        <v>1</v>
      </c>
      <c r="B11" s="89" t="str">
        <f>$B4</f>
        <v>Palace</v>
      </c>
      <c r="C11" s="160" t="s">
        <v>180</v>
      </c>
      <c r="D11" s="152" t="str">
        <f>IF(B10&lt;&gt;0,"",INDEX(Odds!H:H,MATCH(B11,Odds!G:G,0)))</f>
        <v>11/5</v>
      </c>
      <c r="E11" s="596">
        <f>IF(B10&lt;&gt;0,"",INDEX(Odds!I:I,MATCH(B11,Odds!G:G,0)))</f>
        <v>3.2</v>
      </c>
      <c r="F11" s="149">
        <v>0</v>
      </c>
      <c r="G11" s="80"/>
      <c r="H11" s="80"/>
      <c r="I11" s="80"/>
      <c r="J11" s="80"/>
      <c r="K11" s="80"/>
      <c r="L11" s="80"/>
      <c r="M11" s="80"/>
      <c r="N11" s="80"/>
      <c r="O11" s="80"/>
      <c r="P11" s="80"/>
      <c r="Q11" s="80"/>
      <c r="R11" s="80"/>
    </row>
    <row r="12" spans="1:22" ht="15.75">
      <c r="A12" s="598">
        <v>2</v>
      </c>
      <c r="B12" s="89" t="str">
        <f>$B5</f>
        <v>Preston</v>
      </c>
      <c r="C12" s="156" t="s">
        <v>181</v>
      </c>
      <c r="D12" s="152" t="str">
        <f>IF(B10&lt;&gt;0,"",INDEX(Odds!H:H,MATCH(B12,Odds!G:G,0)))</f>
        <v>8/15</v>
      </c>
      <c r="E12" s="596">
        <f>IF(B10&lt;&gt;0,"",INDEX(Odds!I:I,MATCH(B12,Odds!G:G,0)))</f>
        <v>1.5333333333333332</v>
      </c>
      <c r="F12" s="149">
        <v>1</v>
      </c>
      <c r="G12" s="80"/>
      <c r="H12" s="80"/>
      <c r="I12" s="80"/>
      <c r="J12" s="80"/>
      <c r="K12" s="5" t="s">
        <v>13</v>
      </c>
      <c r="L12" s="5" t="s">
        <v>28</v>
      </c>
      <c r="M12" s="76"/>
      <c r="N12" s="76"/>
      <c r="O12" s="80"/>
      <c r="P12" s="80"/>
      <c r="Q12" s="80"/>
      <c r="R12" s="80"/>
    </row>
    <row r="13" spans="1:22" ht="16.149999999999999" thickBot="1">
      <c r="A13" s="598">
        <v>3</v>
      </c>
      <c r="B13" s="89" t="str">
        <f>$B6</f>
        <v>QPR</v>
      </c>
      <c r="C13" s="156" t="s">
        <v>181</v>
      </c>
      <c r="D13" s="152" t="str">
        <f>IF(B10&lt;&gt;0,"",INDEX(Odds!H:H,MATCH(B13,Odds!G:G,0)))</f>
        <v>1/1</v>
      </c>
      <c r="E13" s="596">
        <f>IF(B10&lt;&gt;0,"",INDEX(Odds!I:I,MATCH(B13,Odds!G:G,0)))</f>
        <v>2</v>
      </c>
      <c r="F13" s="149">
        <v>1</v>
      </c>
      <c r="G13" s="80"/>
      <c r="H13" s="80"/>
      <c r="I13" s="80"/>
      <c r="J13" s="80"/>
      <c r="K13" s="6">
        <f>SUM(F11:F13)</f>
        <v>2</v>
      </c>
      <c r="L13" s="7">
        <f>SUM(K10:Q10)-7</f>
        <v>29.799999999999997</v>
      </c>
      <c r="M13" s="76"/>
      <c r="N13" s="76"/>
      <c r="O13" s="80"/>
      <c r="P13" s="80"/>
      <c r="Q13" s="80"/>
      <c r="R13" s="80"/>
      <c r="S13" s="76"/>
      <c r="T13" s="76"/>
      <c r="U13" s="76"/>
      <c r="V13" s="76"/>
    </row>
    <row r="14" spans="1:22">
      <c r="A14" s="76"/>
      <c r="B14" s="76"/>
      <c r="C14" s="76"/>
      <c r="D14" s="80"/>
      <c r="E14" s="80"/>
      <c r="F14" s="80"/>
      <c r="G14" s="80"/>
      <c r="H14" s="76"/>
      <c r="I14" s="76"/>
      <c r="J14" s="80"/>
      <c r="K14" s="80"/>
      <c r="L14" s="80"/>
      <c r="M14" s="80"/>
      <c r="N14" s="80"/>
      <c r="O14" s="80"/>
      <c r="P14" s="80"/>
      <c r="Q14" s="80"/>
      <c r="R14" s="80"/>
      <c r="S14" s="76"/>
      <c r="T14" s="76"/>
      <c r="U14" s="76"/>
      <c r="V14" s="76"/>
    </row>
    <row r="15" spans="1:22">
      <c r="A15" s="76"/>
      <c r="B15" s="76"/>
      <c r="C15" s="76"/>
      <c r="D15" s="80"/>
      <c r="E15" s="80"/>
      <c r="F15" s="80"/>
      <c r="G15" s="80"/>
      <c r="H15" s="76"/>
      <c r="I15" s="76"/>
      <c r="J15" s="80"/>
      <c r="K15" s="80"/>
      <c r="L15" s="80"/>
      <c r="M15" s="80"/>
      <c r="N15" s="80"/>
      <c r="O15" s="80"/>
      <c r="P15" s="80"/>
      <c r="Q15" s="80"/>
      <c r="R15" s="80"/>
      <c r="S15" s="76"/>
      <c r="T15" s="76"/>
      <c r="U15" s="76"/>
      <c r="V15" s="76"/>
    </row>
    <row r="16" spans="1:22">
      <c r="A16" s="76"/>
      <c r="B16" s="76"/>
      <c r="C16" s="76"/>
      <c r="D16" s="153" t="s">
        <v>178</v>
      </c>
      <c r="E16" s="153" t="s">
        <v>178</v>
      </c>
      <c r="F16" s="153" t="s">
        <v>25</v>
      </c>
      <c r="G16" s="80"/>
      <c r="H16" s="80"/>
      <c r="I16" s="80"/>
      <c r="J16" s="80"/>
      <c r="K16" s="157" t="s">
        <v>171</v>
      </c>
      <c r="L16" s="157" t="s">
        <v>172</v>
      </c>
      <c r="M16" s="157" t="s">
        <v>173</v>
      </c>
      <c r="N16" s="157" t="s">
        <v>174</v>
      </c>
      <c r="O16" s="157" t="s">
        <v>175</v>
      </c>
      <c r="P16" s="157" t="s">
        <v>176</v>
      </c>
      <c r="Q16" s="157" t="s">
        <v>177</v>
      </c>
      <c r="R16" s="80"/>
      <c r="S16" s="76"/>
      <c r="T16" s="76"/>
      <c r="U16" s="76"/>
      <c r="V16" s="76"/>
    </row>
    <row r="17" spans="1:22">
      <c r="A17" s="76"/>
      <c r="B17" s="76"/>
      <c r="C17" s="76"/>
      <c r="D17" s="155" t="s">
        <v>26</v>
      </c>
      <c r="E17" s="155" t="s">
        <v>27</v>
      </c>
      <c r="F17" s="155" t="s">
        <v>13</v>
      </c>
      <c r="G17" s="80"/>
      <c r="H17" s="150">
        <f>E18</f>
        <v>3.2</v>
      </c>
      <c r="I17" s="150">
        <f>E19</f>
        <v>1.5333333333333332</v>
      </c>
      <c r="J17" s="150">
        <f>E20</f>
        <v>2</v>
      </c>
      <c r="K17" s="151">
        <f>IF(H17=0,0,1)+H17</f>
        <v>4.2</v>
      </c>
      <c r="L17" s="151">
        <f>IF(I17=0,0,1)+I17</f>
        <v>2.5333333333333332</v>
      </c>
      <c r="M17" s="151">
        <f>IF(J17=0,0,1)+J17</f>
        <v>3</v>
      </c>
      <c r="N17" s="151">
        <f>IF(I17=0,0,(K17*I17)+K17)</f>
        <v>10.64</v>
      </c>
      <c r="O17" s="151">
        <f>IF(J17=0,0,(L17*J17)+L17)</f>
        <v>7.6</v>
      </c>
      <c r="P17" s="151">
        <f>IF(H17=0,0,(M17*H17)+M17)</f>
        <v>12.600000000000001</v>
      </c>
      <c r="Q17" s="151">
        <f>IF(J17=0,0,(N17*J17)+N17)</f>
        <v>31.92</v>
      </c>
      <c r="R17" s="80"/>
      <c r="S17" s="76"/>
      <c r="T17" s="76"/>
      <c r="U17" s="76"/>
      <c r="V17" s="76"/>
    </row>
    <row r="18" spans="1:22" ht="16.149999999999999" thickBot="1">
      <c r="A18" s="598">
        <v>1</v>
      </c>
      <c r="B18" s="89" t="str">
        <f>$B11</f>
        <v>Palace</v>
      </c>
      <c r="C18" s="156" t="s">
        <v>181</v>
      </c>
      <c r="D18" s="152" t="str">
        <f>IF(B17&lt;&gt;0,"",INDEX(Odds!H:H,MATCH(B18,Odds!G:G,0)))</f>
        <v>11/5</v>
      </c>
      <c r="E18" s="596">
        <f>IF(B17&lt;&gt;0,"",INDEX(Odds!I:I,MATCH(B18,Odds!G:G,0)))</f>
        <v>3.2</v>
      </c>
      <c r="F18" s="149">
        <v>1</v>
      </c>
      <c r="G18" s="80"/>
      <c r="H18" s="80"/>
      <c r="I18" s="80"/>
      <c r="J18" s="80"/>
      <c r="K18" s="80"/>
      <c r="L18" s="80"/>
      <c r="M18" s="80"/>
      <c r="N18" s="80"/>
      <c r="O18" s="80"/>
      <c r="P18" s="80"/>
      <c r="Q18" s="80"/>
      <c r="R18" s="80"/>
      <c r="S18" s="76"/>
      <c r="T18" s="76"/>
      <c r="U18" s="76"/>
      <c r="V18" s="76"/>
    </row>
    <row r="19" spans="1:22" ht="15.75">
      <c r="A19" s="598">
        <v>2</v>
      </c>
      <c r="B19" s="89" t="str">
        <f>$B12</f>
        <v>Preston</v>
      </c>
      <c r="C19" s="156" t="s">
        <v>181</v>
      </c>
      <c r="D19" s="152" t="str">
        <f>IF(B17&lt;&gt;0,"",INDEX(Odds!H:H,MATCH(B19,Odds!G:G,0)))</f>
        <v>8/15</v>
      </c>
      <c r="E19" s="596">
        <f>IF(B17&lt;&gt;0,"",INDEX(Odds!I:I,MATCH(B19,Odds!G:G,0)))</f>
        <v>1.5333333333333332</v>
      </c>
      <c r="F19" s="149">
        <v>1</v>
      </c>
      <c r="G19" s="80"/>
      <c r="H19" s="80"/>
      <c r="I19" s="80"/>
      <c r="J19" s="80"/>
      <c r="K19" s="5" t="s">
        <v>13</v>
      </c>
      <c r="L19" s="5" t="s">
        <v>28</v>
      </c>
      <c r="M19" s="76"/>
      <c r="N19" s="76"/>
      <c r="O19" s="80"/>
      <c r="P19" s="80"/>
      <c r="Q19" s="80"/>
      <c r="R19" s="80"/>
      <c r="S19" s="76"/>
      <c r="T19" s="76"/>
      <c r="U19" s="76"/>
      <c r="V19" s="76"/>
    </row>
    <row r="20" spans="1:22" ht="16.149999999999999" thickBot="1">
      <c r="A20" s="598">
        <v>3</v>
      </c>
      <c r="B20" s="89" t="str">
        <f>$B13</f>
        <v>QPR</v>
      </c>
      <c r="C20" s="160" t="s">
        <v>180</v>
      </c>
      <c r="D20" s="152" t="str">
        <f>IF(B17&lt;&gt;0,"",INDEX(Odds!H:H,MATCH(B20,Odds!G:G,0)))</f>
        <v>1/1</v>
      </c>
      <c r="E20" s="596">
        <f>IF(B17&lt;&gt;0,"",INDEX(Odds!I:I,MATCH(B20,Odds!G:G,0)))</f>
        <v>2</v>
      </c>
      <c r="F20" s="149">
        <v>0</v>
      </c>
      <c r="G20" s="80"/>
      <c r="H20" s="80"/>
      <c r="I20" s="80"/>
      <c r="J20" s="80"/>
      <c r="K20" s="6">
        <f>SUM(F18:F20)</f>
        <v>2</v>
      </c>
      <c r="L20" s="7">
        <f>SUM(K17:Q17)-7</f>
        <v>65.493333333333339</v>
      </c>
      <c r="M20" s="76"/>
      <c r="N20" s="76"/>
      <c r="O20" s="80"/>
      <c r="P20" s="80"/>
      <c r="Q20" s="80"/>
      <c r="R20" s="80"/>
      <c r="S20" s="76"/>
      <c r="T20" s="76"/>
      <c r="U20" s="76"/>
      <c r="V20" s="76"/>
    </row>
    <row r="21" spans="1:22" ht="13.15">
      <c r="A21" s="76"/>
      <c r="B21" s="76"/>
      <c r="C21" s="76"/>
      <c r="D21" s="80"/>
      <c r="E21" s="80"/>
      <c r="F21" s="80"/>
      <c r="G21" s="80"/>
      <c r="H21" s="76"/>
      <c r="I21" s="76"/>
      <c r="J21" s="80"/>
      <c r="K21" s="158"/>
      <c r="L21" s="159"/>
      <c r="M21" s="76"/>
      <c r="N21" s="76"/>
      <c r="O21" s="80"/>
      <c r="P21" s="80"/>
      <c r="Q21" s="80"/>
      <c r="R21" s="80"/>
      <c r="S21" s="76"/>
      <c r="T21" s="76"/>
      <c r="U21" s="76"/>
      <c r="V21" s="76"/>
    </row>
    <row r="22" spans="1:22" ht="13.15">
      <c r="A22" s="76"/>
      <c r="B22" s="76"/>
      <c r="C22" s="76"/>
      <c r="D22" s="80"/>
      <c r="E22" s="80"/>
      <c r="F22" s="80"/>
      <c r="G22" s="80"/>
      <c r="H22" s="76"/>
      <c r="I22" s="76"/>
      <c r="J22" s="80"/>
      <c r="K22" s="158"/>
      <c r="L22" s="159"/>
      <c r="M22" s="76"/>
      <c r="N22" s="76"/>
      <c r="O22" s="80"/>
      <c r="P22" s="80"/>
      <c r="Q22" s="80"/>
      <c r="R22" s="80"/>
      <c r="S22" s="76"/>
      <c r="T22" s="76"/>
      <c r="U22" s="76"/>
      <c r="V22" s="76"/>
    </row>
    <row r="23" spans="1:22">
      <c r="A23" s="76"/>
      <c r="B23" s="76"/>
      <c r="C23" s="76"/>
      <c r="D23" s="153" t="s">
        <v>178</v>
      </c>
      <c r="E23" s="153" t="s">
        <v>178</v>
      </c>
      <c r="F23" s="153" t="s">
        <v>25</v>
      </c>
      <c r="G23" s="80"/>
      <c r="H23" s="80"/>
      <c r="I23" s="80"/>
      <c r="J23" s="80"/>
      <c r="K23" s="157" t="s">
        <v>171</v>
      </c>
      <c r="L23" s="157" t="s">
        <v>172</v>
      </c>
      <c r="M23" s="157" t="s">
        <v>173</v>
      </c>
      <c r="N23" s="157" t="s">
        <v>174</v>
      </c>
      <c r="O23" s="157" t="s">
        <v>175</v>
      </c>
      <c r="P23" s="157" t="s">
        <v>176</v>
      </c>
      <c r="Q23" s="157" t="s">
        <v>177</v>
      </c>
      <c r="R23" s="80"/>
      <c r="S23" s="76"/>
      <c r="T23" s="76"/>
      <c r="U23" s="76"/>
      <c r="V23" s="76"/>
    </row>
    <row r="24" spans="1:22">
      <c r="A24" s="76"/>
      <c r="B24" s="76"/>
      <c r="C24" s="76"/>
      <c r="D24" s="155" t="s">
        <v>26</v>
      </c>
      <c r="E24" s="155" t="s">
        <v>27</v>
      </c>
      <c r="F24" s="155" t="s">
        <v>13</v>
      </c>
      <c r="G24" s="80"/>
      <c r="H24" s="150">
        <f>E25</f>
        <v>3.2</v>
      </c>
      <c r="I24" s="150">
        <f>E26</f>
        <v>1.5333333333333332</v>
      </c>
      <c r="J24" s="150">
        <f>E27</f>
        <v>2</v>
      </c>
      <c r="K24" s="151">
        <f>IF(H24=0,0,1)+H24</f>
        <v>4.2</v>
      </c>
      <c r="L24" s="151">
        <f>IF(I24=0,0,1)+I24</f>
        <v>2.5333333333333332</v>
      </c>
      <c r="M24" s="151">
        <f>IF(J24=0,0,1)+J24</f>
        <v>3</v>
      </c>
      <c r="N24" s="151">
        <f>IF(I24=0,0,(K24*I24)+K24)</f>
        <v>10.64</v>
      </c>
      <c r="O24" s="151">
        <f>IF(J24=0,0,(L24*J24)+L24)</f>
        <v>7.6</v>
      </c>
      <c r="P24" s="151">
        <f>IF(H24=0,0,(M24*H24)+M24)</f>
        <v>12.600000000000001</v>
      </c>
      <c r="Q24" s="151">
        <f>IF(J24=0,0,(N24*J24)+N24)</f>
        <v>31.92</v>
      </c>
      <c r="R24" s="80"/>
      <c r="S24" s="76"/>
      <c r="T24" s="76"/>
      <c r="U24" s="76"/>
      <c r="V24" s="76"/>
    </row>
    <row r="25" spans="1:22" ht="16.149999999999999" thickBot="1">
      <c r="A25" s="598">
        <v>1</v>
      </c>
      <c r="B25" s="89" t="str">
        <f>$B18</f>
        <v>Palace</v>
      </c>
      <c r="C25" s="156" t="s">
        <v>181</v>
      </c>
      <c r="D25" s="152" t="str">
        <f>IF(B24&lt;&gt;0,"",INDEX(Odds!H:H,MATCH(B25,Odds!G:G,0)))</f>
        <v>11/5</v>
      </c>
      <c r="E25" s="596">
        <f>IF(B24&lt;&gt;0,"",INDEX(Odds!I:I,MATCH(B25,Odds!G:G,0)))</f>
        <v>3.2</v>
      </c>
      <c r="F25" s="149">
        <v>1</v>
      </c>
      <c r="G25" s="80"/>
      <c r="H25" s="80"/>
      <c r="I25" s="80"/>
      <c r="J25" s="80"/>
      <c r="K25" s="80"/>
      <c r="L25" s="80"/>
      <c r="M25" s="80"/>
      <c r="N25" s="80"/>
      <c r="O25" s="80"/>
      <c r="P25" s="80"/>
      <c r="Q25" s="80"/>
      <c r="R25" s="80"/>
      <c r="S25" s="76"/>
      <c r="T25" s="76"/>
      <c r="U25" s="76"/>
      <c r="V25" s="76"/>
    </row>
    <row r="26" spans="1:22" ht="15.75">
      <c r="A26" s="598">
        <v>2</v>
      </c>
      <c r="B26" s="89" t="str">
        <f>$B19</f>
        <v>Preston</v>
      </c>
      <c r="C26" s="160" t="s">
        <v>180</v>
      </c>
      <c r="D26" s="152" t="str">
        <f>IF(B24&lt;&gt;0,"",INDEX(Odds!H:H,MATCH(B26,Odds!G:G,0)))</f>
        <v>8/15</v>
      </c>
      <c r="E26" s="596">
        <f>IF(B24&lt;&gt;0,"",INDEX(Odds!I:I,MATCH(B26,Odds!G:G,0)))</f>
        <v>1.5333333333333332</v>
      </c>
      <c r="F26" s="149">
        <v>0</v>
      </c>
      <c r="G26" s="80"/>
      <c r="H26" s="80"/>
      <c r="I26" s="80"/>
      <c r="J26" s="80"/>
      <c r="K26" s="5" t="s">
        <v>13</v>
      </c>
      <c r="L26" s="5" t="s">
        <v>28</v>
      </c>
      <c r="M26" s="76"/>
      <c r="N26" s="76"/>
      <c r="O26" s="80"/>
      <c r="P26" s="80"/>
      <c r="Q26" s="80"/>
      <c r="R26" s="80"/>
      <c r="S26" s="76"/>
      <c r="T26" s="76"/>
      <c r="U26" s="76"/>
      <c r="V26" s="76"/>
    </row>
    <row r="27" spans="1:22" ht="16.149999999999999" thickBot="1">
      <c r="A27" s="598">
        <v>3</v>
      </c>
      <c r="B27" s="89" t="str">
        <f>$B20</f>
        <v>QPR</v>
      </c>
      <c r="C27" s="156" t="s">
        <v>181</v>
      </c>
      <c r="D27" s="152" t="str">
        <f>IF(B24&lt;&gt;0,"",INDEX(Odds!H:H,MATCH(B27,Odds!G:G,0)))</f>
        <v>1/1</v>
      </c>
      <c r="E27" s="596">
        <f>IF(B24&lt;&gt;0,"",INDEX(Odds!I:I,MATCH(B27,Odds!G:G,0)))</f>
        <v>2</v>
      </c>
      <c r="F27" s="149">
        <v>1</v>
      </c>
      <c r="G27" s="80"/>
      <c r="H27" s="80"/>
      <c r="I27" s="80"/>
      <c r="J27" s="80"/>
      <c r="K27" s="6">
        <f>SUM(F25:F27)</f>
        <v>2</v>
      </c>
      <c r="L27" s="7">
        <f>SUM(K24:Q24)-7</f>
        <v>65.493333333333339</v>
      </c>
      <c r="M27" s="76"/>
      <c r="N27" s="76"/>
      <c r="O27" s="80"/>
      <c r="P27" s="80"/>
      <c r="Q27" s="80"/>
      <c r="R27" s="80"/>
      <c r="S27" s="76"/>
      <c r="T27" s="76"/>
      <c r="U27" s="76"/>
      <c r="V27" s="76"/>
    </row>
    <row r="28" spans="1:22" ht="13.15">
      <c r="A28" s="76"/>
      <c r="B28" s="76"/>
      <c r="C28" s="76"/>
      <c r="D28" s="80"/>
      <c r="E28" s="80"/>
      <c r="F28" s="80"/>
      <c r="G28" s="80"/>
      <c r="H28" s="76"/>
      <c r="I28" s="76"/>
      <c r="J28" s="80"/>
      <c r="K28" s="158"/>
      <c r="L28" s="159"/>
      <c r="M28" s="76"/>
      <c r="N28" s="76"/>
      <c r="O28" s="80"/>
      <c r="P28" s="80"/>
      <c r="Q28" s="80"/>
      <c r="R28" s="80"/>
      <c r="S28" s="76"/>
      <c r="T28" s="76"/>
      <c r="U28" s="76"/>
      <c r="V28" s="76"/>
    </row>
    <row r="29" spans="1:22">
      <c r="A29" s="76"/>
      <c r="B29" s="58"/>
      <c r="C29" s="76"/>
      <c r="D29" s="80"/>
      <c r="E29" s="80"/>
      <c r="F29" s="80"/>
      <c r="G29" s="80"/>
      <c r="H29" s="76"/>
      <c r="I29" s="76"/>
      <c r="J29" s="76"/>
      <c r="K29" s="76"/>
      <c r="L29" s="76"/>
      <c r="M29" s="76"/>
      <c r="N29" s="76"/>
      <c r="O29" s="76"/>
      <c r="P29" s="76"/>
      <c r="Q29" s="76"/>
      <c r="R29" s="76"/>
      <c r="S29" s="76"/>
      <c r="T29" s="76"/>
      <c r="U29" s="76"/>
      <c r="V29" s="76"/>
    </row>
    <row r="30" spans="1:22">
      <c r="A30" s="76"/>
      <c r="B30" s="76"/>
      <c r="C30" s="76"/>
      <c r="D30" s="153" t="s">
        <v>178</v>
      </c>
      <c r="E30" s="153" t="s">
        <v>178</v>
      </c>
      <c r="F30" s="153" t="s">
        <v>25</v>
      </c>
      <c r="G30" s="80"/>
      <c r="H30" s="80"/>
      <c r="I30" s="80"/>
      <c r="J30" s="80"/>
      <c r="K30" s="157" t="s">
        <v>171</v>
      </c>
      <c r="L30" s="157" t="s">
        <v>172</v>
      </c>
      <c r="M30" s="157" t="s">
        <v>173</v>
      </c>
      <c r="N30" s="157" t="s">
        <v>174</v>
      </c>
      <c r="O30" s="157" t="s">
        <v>175</v>
      </c>
      <c r="P30" s="157" t="s">
        <v>176</v>
      </c>
      <c r="Q30" s="157" t="s">
        <v>177</v>
      </c>
      <c r="R30" s="76"/>
      <c r="S30" s="76"/>
      <c r="T30" s="76"/>
      <c r="U30" s="76"/>
      <c r="V30" s="76"/>
    </row>
    <row r="31" spans="1:22">
      <c r="A31" s="76"/>
      <c r="B31" s="76"/>
      <c r="C31" s="76"/>
      <c r="D31" s="155" t="s">
        <v>26</v>
      </c>
      <c r="E31" s="155" t="s">
        <v>27</v>
      </c>
      <c r="F31" s="155" t="s">
        <v>13</v>
      </c>
      <c r="G31" s="80"/>
      <c r="H31" s="150">
        <f>E32</f>
        <v>3.2</v>
      </c>
      <c r="I31" s="150">
        <f>E33</f>
        <v>1.5333333333333332</v>
      </c>
      <c r="J31" s="150">
        <f>E34</f>
        <v>2</v>
      </c>
      <c r="K31" s="151">
        <f>IF(H31=0,0,1)+H31</f>
        <v>4.2</v>
      </c>
      <c r="L31" s="151">
        <f>IF(I31=0,0,1)+I31</f>
        <v>2.5333333333333332</v>
      </c>
      <c r="M31" s="151">
        <f>IF(J31=0,0,1)+J31</f>
        <v>3</v>
      </c>
      <c r="N31" s="151">
        <f>IF(I31=0,0,(K31*I31)+K31)</f>
        <v>10.64</v>
      </c>
      <c r="O31" s="151">
        <f>IF(J31=0,0,(L31*J31)+L31)</f>
        <v>7.6</v>
      </c>
      <c r="P31" s="151">
        <f>IF(H31=0,0,(M31*H31)+M31)</f>
        <v>12.600000000000001</v>
      </c>
      <c r="Q31" s="151">
        <f>IF(J31=0,0,(N31*J31)+N31)</f>
        <v>31.92</v>
      </c>
      <c r="R31" s="76"/>
      <c r="S31" s="76"/>
      <c r="T31" s="76"/>
      <c r="U31" s="76"/>
      <c r="V31" s="76"/>
    </row>
    <row r="32" spans="1:22" ht="16.149999999999999" thickBot="1">
      <c r="A32" s="598">
        <v>1</v>
      </c>
      <c r="B32" s="89" t="str">
        <f>$B25</f>
        <v>Palace</v>
      </c>
      <c r="C32" s="160" t="s">
        <v>180</v>
      </c>
      <c r="D32" s="152" t="str">
        <f>IF(B31&lt;&gt;0,"",INDEX(Odds!H:H,MATCH(B32,Odds!G:G,0)))</f>
        <v>11/5</v>
      </c>
      <c r="E32" s="596">
        <f>IF(B31&lt;&gt;0,"",INDEX(Odds!I:I,MATCH(B32,Odds!G:G,0)))</f>
        <v>3.2</v>
      </c>
      <c r="F32" s="149">
        <v>0</v>
      </c>
      <c r="G32" s="80"/>
      <c r="H32" s="80"/>
      <c r="I32" s="80"/>
      <c r="J32" s="80"/>
      <c r="K32" s="80"/>
      <c r="L32" s="80"/>
      <c r="M32" s="80"/>
      <c r="N32" s="80"/>
      <c r="O32" s="80"/>
      <c r="P32" s="80"/>
      <c r="Q32" s="80"/>
      <c r="R32" s="76"/>
      <c r="S32" s="76"/>
      <c r="T32" s="76"/>
      <c r="U32" s="76"/>
      <c r="V32" s="76"/>
    </row>
    <row r="33" spans="1:22" ht="15.75">
      <c r="A33" s="598">
        <v>2</v>
      </c>
      <c r="B33" s="89" t="str">
        <f>$B26</f>
        <v>Preston</v>
      </c>
      <c r="C33" s="160" t="s">
        <v>180</v>
      </c>
      <c r="D33" s="152" t="str">
        <f>IF(B31&lt;&gt;0,"",INDEX(Odds!H:H,MATCH(B33,Odds!G:G,0)))</f>
        <v>8/15</v>
      </c>
      <c r="E33" s="596">
        <f>IF(B31&lt;&gt;0,"",INDEX(Odds!I:I,MATCH(B33,Odds!G:G,0)))</f>
        <v>1.5333333333333332</v>
      </c>
      <c r="F33" s="149">
        <v>0</v>
      </c>
      <c r="G33" s="80"/>
      <c r="H33" s="80"/>
      <c r="I33" s="80"/>
      <c r="J33" s="80"/>
      <c r="K33" s="5" t="s">
        <v>13</v>
      </c>
      <c r="L33" s="5" t="s">
        <v>28</v>
      </c>
      <c r="M33" s="76"/>
      <c r="N33" s="76"/>
      <c r="O33" s="80"/>
      <c r="P33" s="80"/>
      <c r="Q33" s="80"/>
      <c r="R33" s="76"/>
      <c r="S33" s="76"/>
      <c r="T33" s="76"/>
      <c r="U33" s="76"/>
      <c r="V33" s="76"/>
    </row>
    <row r="34" spans="1:22" ht="16.149999999999999" thickBot="1">
      <c r="A34" s="598">
        <v>3</v>
      </c>
      <c r="B34" s="89" t="str">
        <f>$B27</f>
        <v>QPR</v>
      </c>
      <c r="C34" s="156" t="s">
        <v>181</v>
      </c>
      <c r="D34" s="152" t="str">
        <f>IF(B31&lt;&gt;0,"",INDEX(Odds!H:H,MATCH(B34,Odds!G:G,0)))</f>
        <v>1/1</v>
      </c>
      <c r="E34" s="596">
        <f>IF(B31&lt;&gt;0,"",INDEX(Odds!I:I,MATCH(B34,Odds!G:G,0)))</f>
        <v>2</v>
      </c>
      <c r="F34" s="149">
        <v>1</v>
      </c>
      <c r="G34" s="80"/>
      <c r="H34" s="80"/>
      <c r="I34" s="80"/>
      <c r="J34" s="80"/>
      <c r="K34" s="6">
        <f>SUM(F32:F34)</f>
        <v>1</v>
      </c>
      <c r="L34" s="7">
        <f>SUM(K31:Q31)-7</f>
        <v>65.493333333333339</v>
      </c>
      <c r="M34" s="76"/>
      <c r="N34" s="76"/>
      <c r="O34" s="80"/>
      <c r="P34" s="80"/>
      <c r="Q34" s="80"/>
      <c r="R34" s="76"/>
      <c r="S34" s="76"/>
      <c r="T34" s="76"/>
      <c r="U34" s="76"/>
      <c r="V34" s="76"/>
    </row>
    <row r="35" spans="1:22">
      <c r="A35" s="76"/>
      <c r="B35" s="76"/>
      <c r="C35" s="76"/>
      <c r="D35" s="80"/>
      <c r="E35" s="80"/>
      <c r="F35" s="80"/>
      <c r="G35" s="80"/>
      <c r="H35" s="76"/>
      <c r="I35" s="76"/>
      <c r="J35" s="76"/>
      <c r="K35" s="76"/>
      <c r="L35" s="76"/>
      <c r="M35" s="76"/>
      <c r="N35" s="76"/>
      <c r="O35" s="76"/>
      <c r="P35" s="76"/>
      <c r="Q35" s="76"/>
      <c r="R35" s="76"/>
      <c r="S35" s="76"/>
      <c r="T35" s="76"/>
      <c r="U35" s="76"/>
      <c r="V35" s="76"/>
    </row>
    <row r="36" spans="1:22">
      <c r="A36" s="76"/>
      <c r="B36" s="76"/>
      <c r="C36" s="76"/>
      <c r="D36" s="80"/>
      <c r="E36" s="80"/>
      <c r="F36" s="80"/>
      <c r="G36" s="80"/>
      <c r="H36" s="76"/>
      <c r="I36" s="76"/>
      <c r="J36" s="76"/>
      <c r="K36" s="76"/>
      <c r="L36" s="76"/>
      <c r="M36" s="76"/>
      <c r="N36" s="76"/>
      <c r="O36" s="76"/>
      <c r="P36" s="76"/>
      <c r="Q36" s="76"/>
      <c r="R36" s="76"/>
      <c r="S36" s="76"/>
      <c r="T36" s="76"/>
      <c r="U36" s="76"/>
      <c r="V36" s="76"/>
    </row>
    <row r="37" spans="1:22">
      <c r="A37" s="76"/>
      <c r="B37" s="76"/>
      <c r="C37" s="76"/>
      <c r="D37" s="153" t="s">
        <v>178</v>
      </c>
      <c r="E37" s="153" t="s">
        <v>178</v>
      </c>
      <c r="F37" s="153" t="s">
        <v>25</v>
      </c>
      <c r="G37" s="80"/>
      <c r="H37" s="80"/>
      <c r="I37" s="80"/>
      <c r="J37" s="80"/>
      <c r="K37" s="157" t="s">
        <v>171</v>
      </c>
      <c r="L37" s="157" t="s">
        <v>172</v>
      </c>
      <c r="M37" s="157" t="s">
        <v>173</v>
      </c>
      <c r="N37" s="157" t="s">
        <v>174</v>
      </c>
      <c r="O37" s="157" t="s">
        <v>175</v>
      </c>
      <c r="P37" s="157" t="s">
        <v>176</v>
      </c>
      <c r="Q37" s="157" t="s">
        <v>177</v>
      </c>
      <c r="R37" s="76"/>
      <c r="S37" s="76"/>
      <c r="T37" s="76"/>
      <c r="U37" s="76"/>
      <c r="V37" s="76"/>
    </row>
    <row r="38" spans="1:22">
      <c r="A38" s="76"/>
      <c r="B38" s="76"/>
      <c r="C38" s="76"/>
      <c r="D38" s="155" t="s">
        <v>26</v>
      </c>
      <c r="E38" s="155" t="s">
        <v>27</v>
      </c>
      <c r="F38" s="155" t="s">
        <v>13</v>
      </c>
      <c r="G38" s="80"/>
      <c r="H38" s="150">
        <f>E39</f>
        <v>3.2</v>
      </c>
      <c r="I38" s="150">
        <f>E40</f>
        <v>1.5333333333333332</v>
      </c>
      <c r="J38" s="150">
        <f>E41</f>
        <v>2</v>
      </c>
      <c r="K38" s="151"/>
      <c r="L38" s="151"/>
      <c r="M38" s="151"/>
      <c r="N38" s="151"/>
      <c r="O38" s="151"/>
      <c r="P38" s="151"/>
      <c r="Q38" s="151"/>
      <c r="R38" s="76"/>
      <c r="S38" s="76"/>
      <c r="T38" s="76"/>
      <c r="U38" s="76"/>
      <c r="V38" s="76"/>
    </row>
    <row r="39" spans="1:22" ht="16.149999999999999" thickBot="1">
      <c r="A39" s="598">
        <v>1</v>
      </c>
      <c r="B39" s="89" t="str">
        <f>$B32</f>
        <v>Palace</v>
      </c>
      <c r="C39" s="160" t="s">
        <v>180</v>
      </c>
      <c r="D39" s="152" t="str">
        <f>IF(B38&lt;&gt;0,"",INDEX(Odds!H:H,MATCH(B39,Odds!G:G,0)))</f>
        <v>11/5</v>
      </c>
      <c r="E39" s="596">
        <f>IF(B38&lt;&gt;0,"",INDEX(Odds!I:I,MATCH(B39,Odds!G:G,0)))</f>
        <v>3.2</v>
      </c>
      <c r="F39" s="149">
        <v>0</v>
      </c>
      <c r="G39" s="80"/>
      <c r="H39" s="80"/>
      <c r="I39" s="80"/>
      <c r="J39" s="80"/>
      <c r="K39" s="80"/>
      <c r="L39" s="80"/>
      <c r="M39" s="80"/>
      <c r="N39" s="80"/>
      <c r="O39" s="80"/>
      <c r="P39" s="80"/>
      <c r="Q39" s="80"/>
      <c r="R39" s="76"/>
      <c r="S39" s="76"/>
      <c r="T39" s="76"/>
      <c r="U39" s="76"/>
      <c r="V39" s="76"/>
    </row>
    <row r="40" spans="1:22" ht="15.75">
      <c r="A40" s="598">
        <v>2</v>
      </c>
      <c r="B40" s="89" t="str">
        <f>$B33</f>
        <v>Preston</v>
      </c>
      <c r="C40" s="160" t="s">
        <v>180</v>
      </c>
      <c r="D40" s="152" t="str">
        <f>IF(B38&lt;&gt;0,"",INDEX(Odds!H:H,MATCH(B40,Odds!G:G,0)))</f>
        <v>8/15</v>
      </c>
      <c r="E40" s="596">
        <f>IF(B38&lt;&gt;0,"",INDEX(Odds!I:I,MATCH(B40,Odds!G:G,0)))</f>
        <v>1.5333333333333332</v>
      </c>
      <c r="F40" s="149">
        <v>0</v>
      </c>
      <c r="G40" s="80"/>
      <c r="H40" s="80"/>
      <c r="I40" s="80"/>
      <c r="J40" s="80"/>
      <c r="K40" s="5" t="s">
        <v>13</v>
      </c>
      <c r="L40" s="5" t="s">
        <v>28</v>
      </c>
      <c r="M40" s="76"/>
      <c r="N40" s="76"/>
      <c r="O40" s="80"/>
      <c r="P40" s="80"/>
      <c r="Q40" s="80"/>
      <c r="R40" s="76"/>
      <c r="S40" s="76"/>
      <c r="T40" s="76"/>
      <c r="U40" s="76"/>
      <c r="V40" s="76"/>
    </row>
    <row r="41" spans="1:22" ht="16.149999999999999" thickBot="1">
      <c r="A41" s="598">
        <v>3</v>
      </c>
      <c r="B41" s="89" t="str">
        <f>$B34</f>
        <v>QPR</v>
      </c>
      <c r="C41" s="160" t="s">
        <v>180</v>
      </c>
      <c r="D41" s="152" t="str">
        <f>IF(B38&lt;&gt;0,"",INDEX(Odds!H:H,MATCH(B41,Odds!G:G,0)))</f>
        <v>1/1</v>
      </c>
      <c r="E41" s="596">
        <f>IF(B38&lt;&gt;0,"",INDEX(Odds!I:I,MATCH(B41,Odds!G:G,0)))</f>
        <v>2</v>
      </c>
      <c r="F41" s="149">
        <v>0</v>
      </c>
      <c r="G41" s="80"/>
      <c r="H41" s="80"/>
      <c r="I41" s="80"/>
      <c r="J41" s="80"/>
      <c r="K41" s="6">
        <f>SUM(F39:F41)</f>
        <v>0</v>
      </c>
      <c r="L41" s="7">
        <f>SUM(K38:Q38)-7</f>
        <v>-7</v>
      </c>
      <c r="M41" s="76"/>
      <c r="N41" s="76"/>
      <c r="O41" s="80"/>
      <c r="P41" s="80"/>
      <c r="Q41" s="80"/>
      <c r="R41" s="76"/>
      <c r="S41" s="76"/>
      <c r="T41" s="76"/>
      <c r="U41" s="76"/>
      <c r="V41" s="76"/>
    </row>
    <row r="42" spans="1:22">
      <c r="A42" s="76"/>
      <c r="B42" s="76"/>
      <c r="C42" s="76"/>
      <c r="D42" s="80"/>
      <c r="E42" s="80"/>
      <c r="F42" s="80"/>
      <c r="G42" s="80"/>
      <c r="H42" s="76"/>
      <c r="I42" s="76"/>
      <c r="J42" s="76"/>
      <c r="K42" s="76"/>
      <c r="L42" s="76"/>
      <c r="M42" s="76"/>
      <c r="N42" s="76"/>
      <c r="O42" s="76"/>
      <c r="P42" s="76"/>
      <c r="Q42" s="76"/>
      <c r="R42" s="76"/>
      <c r="S42" s="76"/>
      <c r="T42" s="76"/>
      <c r="U42" s="76"/>
      <c r="V42" s="76"/>
    </row>
    <row r="43" spans="1:22">
      <c r="A43" s="76"/>
      <c r="B43" s="76"/>
      <c r="C43" s="76"/>
      <c r="D43" s="80"/>
      <c r="E43" s="80"/>
      <c r="F43" s="80"/>
      <c r="G43" s="80"/>
      <c r="H43" s="76"/>
      <c r="I43" s="76"/>
      <c r="J43" s="76"/>
      <c r="K43" s="76"/>
      <c r="L43" s="76"/>
      <c r="M43" s="76"/>
      <c r="N43" s="76"/>
      <c r="O43" s="76"/>
      <c r="P43" s="76"/>
      <c r="Q43" s="76"/>
      <c r="R43" s="76"/>
      <c r="S43" s="76"/>
      <c r="T43" s="76"/>
      <c r="U43" s="76"/>
      <c r="V43" s="76"/>
    </row>
    <row r="44" spans="1:22">
      <c r="A44" s="76"/>
      <c r="B44" s="76"/>
      <c r="C44" s="76"/>
      <c r="D44" s="80"/>
      <c r="E44" s="80"/>
      <c r="F44" s="80"/>
      <c r="G44" s="80"/>
      <c r="H44" s="76"/>
      <c r="I44" s="76"/>
      <c r="J44" s="76"/>
      <c r="K44" s="76"/>
      <c r="L44" s="76"/>
      <c r="M44" s="76"/>
      <c r="N44" s="76"/>
      <c r="O44" s="76"/>
      <c r="P44" s="76"/>
      <c r="Q44" s="76"/>
      <c r="R44" s="76"/>
      <c r="S44" s="76"/>
      <c r="T44" s="76"/>
      <c r="U44" s="76"/>
      <c r="V44" s="76"/>
    </row>
    <row r="45" spans="1:22">
      <c r="A45" s="76"/>
      <c r="B45" s="76"/>
      <c r="C45" s="76"/>
      <c r="D45" s="80"/>
      <c r="E45" s="80"/>
      <c r="F45" s="80"/>
      <c r="G45" s="80"/>
      <c r="H45" s="76"/>
      <c r="I45" s="76"/>
      <c r="J45" s="76"/>
      <c r="K45" s="76"/>
      <c r="L45" s="76"/>
      <c r="M45" s="76"/>
      <c r="N45" s="76"/>
      <c r="O45" s="76"/>
      <c r="P45" s="76"/>
      <c r="Q45" s="76"/>
      <c r="R45" s="76"/>
      <c r="S45" s="76"/>
      <c r="T45" s="76"/>
      <c r="U45" s="76"/>
      <c r="V45" s="76"/>
    </row>
    <row r="46" spans="1:22">
      <c r="A46" s="76"/>
      <c r="B46" s="76"/>
      <c r="C46" s="76"/>
      <c r="D46" s="80"/>
      <c r="E46" s="80"/>
      <c r="F46" s="80"/>
      <c r="G46" s="80"/>
      <c r="H46" s="76"/>
      <c r="I46" s="76"/>
      <c r="J46" s="76"/>
      <c r="K46" s="76"/>
      <c r="L46" s="76"/>
      <c r="M46" s="76"/>
      <c r="N46" s="76"/>
      <c r="O46" s="76"/>
      <c r="P46" s="76"/>
      <c r="Q46" s="76"/>
      <c r="R46" s="76"/>
      <c r="S46" s="76"/>
      <c r="T46" s="76"/>
      <c r="U46" s="76"/>
      <c r="V46" s="76"/>
    </row>
    <row r="47" spans="1:22">
      <c r="A47" s="76"/>
      <c r="B47" s="76"/>
      <c r="C47" s="76"/>
      <c r="D47" s="80"/>
      <c r="E47" s="80"/>
      <c r="F47" s="80"/>
      <c r="G47" s="80"/>
      <c r="H47" s="76"/>
      <c r="I47" s="76"/>
      <c r="J47" s="76"/>
      <c r="K47" s="76"/>
      <c r="L47" s="76"/>
      <c r="M47" s="76"/>
      <c r="N47" s="76"/>
      <c r="O47" s="76"/>
      <c r="P47" s="76"/>
      <c r="Q47" s="76"/>
      <c r="R47" s="76"/>
      <c r="S47" s="76"/>
      <c r="T47" s="76"/>
      <c r="U47" s="76"/>
      <c r="V47" s="76"/>
    </row>
    <row r="48" spans="1:22">
      <c r="A48" s="76"/>
      <c r="B48" s="76"/>
      <c r="C48" s="76"/>
      <c r="D48" s="80"/>
      <c r="E48" s="80"/>
      <c r="F48" s="80"/>
      <c r="G48" s="80"/>
      <c r="H48" s="76"/>
      <c r="I48" s="76"/>
      <c r="J48" s="76"/>
      <c r="K48" s="76"/>
      <c r="L48" s="76"/>
      <c r="M48" s="76"/>
      <c r="N48" s="76"/>
      <c r="O48" s="76"/>
      <c r="P48" s="76"/>
      <c r="Q48" s="76"/>
      <c r="R48" s="76"/>
      <c r="S48" s="76"/>
      <c r="T48" s="76"/>
      <c r="U48" s="76"/>
      <c r="V48" s="76"/>
    </row>
    <row r="49" spans="1:22">
      <c r="A49" s="76"/>
      <c r="B49" s="76"/>
      <c r="C49" s="76"/>
      <c r="D49" s="80"/>
      <c r="E49" s="80"/>
      <c r="F49" s="80"/>
      <c r="G49" s="80"/>
      <c r="H49" s="76"/>
      <c r="I49" s="76"/>
      <c r="J49" s="76"/>
      <c r="K49" s="76"/>
      <c r="L49" s="76"/>
      <c r="M49" s="76"/>
      <c r="N49" s="76"/>
      <c r="O49" s="76"/>
      <c r="P49" s="76"/>
      <c r="Q49" s="76"/>
      <c r="R49" s="76"/>
      <c r="S49" s="76"/>
      <c r="T49" s="76"/>
      <c r="U49" s="76"/>
      <c r="V49" s="76"/>
    </row>
    <row r="50" spans="1:22">
      <c r="A50" s="76"/>
      <c r="B50" s="76"/>
      <c r="C50" s="76"/>
      <c r="D50" s="80"/>
      <c r="E50" s="80"/>
      <c r="F50" s="80"/>
      <c r="G50" s="80"/>
      <c r="H50" s="76"/>
      <c r="I50" s="76"/>
      <c r="J50" s="76"/>
      <c r="K50" s="76"/>
      <c r="L50" s="76"/>
      <c r="M50" s="76"/>
      <c r="N50" s="76"/>
      <c r="O50" s="76"/>
      <c r="P50" s="76"/>
      <c r="Q50" s="76"/>
      <c r="R50" s="76"/>
      <c r="S50" s="76"/>
      <c r="T50" s="76"/>
      <c r="U50" s="76"/>
      <c r="V50" s="76"/>
    </row>
    <row r="51" spans="1:22">
      <c r="A51" s="76"/>
      <c r="B51" s="76"/>
      <c r="C51" s="76"/>
      <c r="D51" s="80"/>
      <c r="E51" s="80"/>
      <c r="F51" s="80"/>
      <c r="G51" s="80"/>
      <c r="H51" s="76"/>
      <c r="I51" s="76"/>
      <c r="J51" s="76"/>
      <c r="K51" s="76"/>
      <c r="L51" s="76"/>
      <c r="M51" s="76"/>
      <c r="N51" s="76"/>
      <c r="O51" s="76"/>
      <c r="P51" s="76"/>
      <c r="Q51" s="76"/>
      <c r="R51" s="76"/>
      <c r="S51" s="76"/>
      <c r="T51" s="76"/>
      <c r="U51" s="76"/>
      <c r="V51" s="76"/>
    </row>
    <row r="52" spans="1:22">
      <c r="A52" s="76"/>
      <c r="B52" s="76"/>
      <c r="C52" s="76"/>
      <c r="D52" s="80"/>
      <c r="E52" s="80"/>
      <c r="F52" s="80"/>
      <c r="G52" s="80"/>
      <c r="H52" s="76"/>
      <c r="I52" s="76"/>
      <c r="J52" s="76"/>
      <c r="K52" s="76"/>
      <c r="L52" s="76"/>
      <c r="M52" s="76"/>
      <c r="N52" s="76"/>
      <c r="O52" s="76"/>
      <c r="P52" s="76"/>
      <c r="Q52" s="76"/>
      <c r="R52" s="76"/>
      <c r="S52" s="76"/>
      <c r="T52" s="76"/>
      <c r="U52" s="76"/>
      <c r="V52" s="76"/>
    </row>
    <row r="53" spans="1:22">
      <c r="D53" s="1"/>
      <c r="E53" s="1"/>
      <c r="F53" s="1"/>
      <c r="G53" s="1"/>
      <c r="R53" s="76"/>
      <c r="S53" s="76"/>
      <c r="T53" s="76"/>
      <c r="U53" s="76"/>
      <c r="V53" s="76"/>
    </row>
    <row r="54" spans="1:22">
      <c r="D54" s="1"/>
      <c r="E54" s="1"/>
      <c r="F54" s="1"/>
      <c r="G54" s="1"/>
      <c r="R54" s="76"/>
      <c r="S54" s="76"/>
      <c r="T54" s="76"/>
      <c r="U54" s="76"/>
      <c r="V54" s="76"/>
    </row>
    <row r="55" spans="1:22">
      <c r="D55" s="1"/>
      <c r="E55" s="1"/>
      <c r="F55" s="1"/>
      <c r="G55" s="1"/>
      <c r="R55" s="76"/>
      <c r="S55" s="76"/>
      <c r="T55" s="76"/>
      <c r="U55" s="76"/>
      <c r="V55" s="76"/>
    </row>
    <row r="56" spans="1:22">
      <c r="D56" s="1"/>
      <c r="E56" s="1"/>
      <c r="F56" s="1"/>
      <c r="G56" s="1"/>
      <c r="R56" s="76"/>
      <c r="S56" s="76"/>
      <c r="T56" s="76"/>
      <c r="U56" s="76"/>
      <c r="V56" s="76"/>
    </row>
    <row r="57" spans="1:22">
      <c r="D57" s="1"/>
      <c r="E57" s="1"/>
      <c r="F57" s="1"/>
      <c r="G57" s="1"/>
      <c r="R57" s="76"/>
      <c r="S57" s="76"/>
      <c r="T57" s="76"/>
      <c r="U57" s="76"/>
      <c r="V57" s="76"/>
    </row>
    <row r="58" spans="1:22">
      <c r="D58" s="1"/>
      <c r="E58" s="1"/>
      <c r="F58" s="1"/>
      <c r="G58" s="1"/>
      <c r="R58" s="76"/>
      <c r="S58" s="76"/>
      <c r="T58" s="76"/>
      <c r="U58" s="76"/>
      <c r="V58" s="76"/>
    </row>
    <row r="59" spans="1:22">
      <c r="D59" s="1"/>
      <c r="E59" s="1"/>
      <c r="F59" s="1"/>
      <c r="G59" s="1"/>
    </row>
    <row r="60" spans="1:22">
      <c r="D60" s="1"/>
      <c r="E60" s="1"/>
      <c r="F60" s="1"/>
      <c r="G60" s="1"/>
    </row>
    <row r="61" spans="1:22">
      <c r="D61" s="1"/>
      <c r="E61" s="1"/>
      <c r="F61" s="1"/>
      <c r="G61" s="1"/>
    </row>
    <row r="62" spans="1:22">
      <c r="D62" s="1"/>
      <c r="E62" s="1"/>
      <c r="F62" s="1"/>
      <c r="G62" s="1"/>
    </row>
    <row r="63" spans="1:22">
      <c r="D63" s="1"/>
      <c r="E63" s="1"/>
      <c r="F63" s="1"/>
      <c r="G63" s="1"/>
    </row>
    <row r="64" spans="1:22">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52"/>
  <sheetViews>
    <sheetView zoomScaleNormal="100" workbookViewId="0">
      <pane ySplit="1" topLeftCell="A129" activePane="bottomLeft" state="frozen"/>
      <selection pane="bottomLeft" activeCell="A150" sqref="A150"/>
    </sheetView>
  </sheetViews>
  <sheetFormatPr defaultRowHeight="12.75"/>
  <cols>
    <col min="1" max="1" width="23.1328125" customWidth="1"/>
    <col min="2" max="2" width="23.73046875" customWidth="1"/>
    <col min="3" max="3" width="11.265625" style="580" customWidth="1"/>
    <col min="4" max="4" width="9.73046875" customWidth="1"/>
    <col min="5" max="5" width="12" customWidth="1"/>
    <col min="6" max="6" width="11.86328125" customWidth="1"/>
    <col min="7" max="7" width="12.1328125" customWidth="1"/>
  </cols>
  <sheetData>
    <row r="1" spans="1:7" ht="18" customHeight="1" thickBot="1">
      <c r="A1" s="113" t="str">
        <f>IF(Picks!A1="","",Picks!A1)</f>
        <v>Player</v>
      </c>
      <c r="B1" s="113" t="str">
        <f>IF(Picks!B1="","",Picks!B1)</f>
        <v>Prediction</v>
      </c>
      <c r="C1" s="577" t="str">
        <f>IF(Picks!C1="","",Picks!C1)</f>
        <v>Day</v>
      </c>
      <c r="D1" s="114" t="str">
        <f>IF(Picks!D1="","",Picks!D1)</f>
        <v>Decimal</v>
      </c>
      <c r="E1" s="115" t="str">
        <f>IF(Picks!E1="","",Picks!E1)</f>
        <v>Bet in?</v>
      </c>
      <c r="F1" s="116" t="str">
        <f>IF(Picks!F1="","",Picks!F1)</f>
        <v>Score</v>
      </c>
      <c r="G1" s="116" t="str">
        <f>IF(Picks!G1="","",Picks!G1)</f>
        <v>Max</v>
      </c>
    </row>
    <row r="2" spans="1:7" ht="13.9" thickTop="1" thickBot="1">
      <c r="A2" s="106" t="str">
        <f>IF(Picks!A2="","",Picks!A2)</f>
        <v>Alan Bond</v>
      </c>
      <c r="B2" s="107" t="str">
        <f>IF(Picks!B2="","",Picks!B2)</f>
        <v>Shrewsbury draw</v>
      </c>
      <c r="C2" s="578">
        <f>IF(Picks!C2="","",Picks!C2)</f>
        <v>6</v>
      </c>
      <c r="D2" s="108">
        <f>IF(Picks!D2="","",Picks!D2)</f>
        <v>3.5</v>
      </c>
      <c r="E2" s="109" t="str">
        <f>IF(Picks!E2="","",Picks!E2)</f>
        <v>√</v>
      </c>
      <c r="F2" s="110">
        <f>IF(Picks!F2="","",Picks!F2)</f>
        <v>-3.5</v>
      </c>
      <c r="G2" s="111">
        <f>IF(Picks!G2="","",Picks!G2)</f>
        <v>93.43</v>
      </c>
    </row>
    <row r="3" spans="1:7" ht="13.15">
      <c r="A3" s="112"/>
      <c r="B3" s="59" t="str">
        <f>IF(Picks!B3="","",Picks!B3)</f>
        <v>Accrington draw</v>
      </c>
      <c r="C3" s="578">
        <f>IF(Picks!C3="","",Picks!C3)</f>
        <v>6</v>
      </c>
      <c r="D3" s="44">
        <f>IF(Picks!D3="","",Picks!D3)</f>
        <v>3.6</v>
      </c>
      <c r="E3" s="79" t="str">
        <f>IF(Picks!E3="","",Picks!E3)</f>
        <v>x</v>
      </c>
      <c r="F3" s="129" t="str">
        <f>IF(Picks!F3="","",Picks!F3)</f>
        <v/>
      </c>
      <c r="G3" s="44" t="str">
        <f>IF(Picks!G3="","",Picks!G3)</f>
        <v/>
      </c>
    </row>
    <row r="4" spans="1:7" ht="13.5" thickBot="1">
      <c r="A4" s="130"/>
      <c r="B4" s="125" t="str">
        <f>IF(Picks!B4="","",Picks!B4)</f>
        <v>Swindon draw</v>
      </c>
      <c r="C4" s="579">
        <f>IF(Picks!C4="","",Picks!C4)</f>
        <v>6</v>
      </c>
      <c r="D4" s="126">
        <f>IF(Picks!D4="","",Picks!D4)</f>
        <v>3.9</v>
      </c>
      <c r="E4" s="79" t="str">
        <f>IF(Picks!E4="","",Picks!E4)</f>
        <v>x</v>
      </c>
      <c r="F4" s="129" t="str">
        <f>IF(Picks!F4="","",Picks!F4)</f>
        <v/>
      </c>
      <c r="G4" s="44" t="str">
        <f>IF(Picks!G4="","",Picks!G4)</f>
        <v/>
      </c>
    </row>
    <row r="5" spans="1:7" ht="13.9" thickTop="1" thickBot="1">
      <c r="A5" s="112" t="str">
        <f>IF(Picks!A5="","",Picks!A5)</f>
        <v>Alan Rogers</v>
      </c>
      <c r="B5" s="107" t="str">
        <f>IF(Picks!B5="","",Picks!B5)</f>
        <v>Exeter draw</v>
      </c>
      <c r="C5" s="578">
        <f>IF(Picks!C5="","",Picks!C5)</f>
        <v>6</v>
      </c>
      <c r="D5" s="108">
        <f>IF(Picks!D5="","",Picks!D5)</f>
        <v>3.4</v>
      </c>
      <c r="E5" s="109" t="str">
        <f>IF(Picks!E5="","",Picks!E5)</f>
        <v>√</v>
      </c>
      <c r="F5" s="110">
        <f>IF(Picks!F5="","",Picks!F5)</f>
        <v>-3.6</v>
      </c>
      <c r="G5" s="111">
        <f>IF(Picks!G5="","",Picks!G5)</f>
        <v>66.25</v>
      </c>
    </row>
    <row r="6" spans="1:7" ht="13.15">
      <c r="A6" s="112"/>
      <c r="B6" s="59" t="str">
        <f>IF(Picks!B6="","",Picks!B6)</f>
        <v>Tranmere</v>
      </c>
      <c r="C6" s="578">
        <f>IF(Picks!C6="","",Picks!C6)</f>
        <v>6</v>
      </c>
      <c r="D6" s="44">
        <f>IF(Picks!D6="","",Picks!D6)</f>
        <v>3.5</v>
      </c>
      <c r="E6" s="79" t="str">
        <f>IF(Picks!E6="","",Picks!E6)</f>
        <v>x</v>
      </c>
      <c r="F6" s="129" t="str">
        <f>IF(Picks!F6="","",Picks!F6)</f>
        <v/>
      </c>
      <c r="G6" s="44" t="str">
        <f>IF(Picks!G6="","",Picks!G6)</f>
        <v/>
      </c>
    </row>
    <row r="7" spans="1:7" ht="13.5" thickBot="1">
      <c r="A7" s="130"/>
      <c r="B7" s="125" t="str">
        <f>IF(Picks!B7="","",Picks!B7)</f>
        <v>Mansfield</v>
      </c>
      <c r="C7" s="579">
        <f>IF(Picks!C7="","",Picks!C7)</f>
        <v>6</v>
      </c>
      <c r="D7" s="126">
        <f>IF(Picks!D7="","",Picks!D7)</f>
        <v>2.75</v>
      </c>
      <c r="E7" s="79" t="str">
        <f>IF(Picks!E7="","",Picks!E7)</f>
        <v>x</v>
      </c>
      <c r="F7" s="129" t="str">
        <f>IF(Picks!F7="","",Picks!F7)</f>
        <v/>
      </c>
      <c r="G7" s="44" t="str">
        <f>IF(Picks!G7="","",Picks!G7)</f>
        <v/>
      </c>
    </row>
    <row r="8" spans="1:7" ht="13.9" thickTop="1" thickBot="1">
      <c r="A8" s="112" t="str">
        <f>IF(Picks!A8="","",Picks!A8)</f>
        <v>Alan White</v>
      </c>
      <c r="B8" s="107" t="str">
        <f>IF(Picks!B8="","",Picks!B8)</f>
        <v>Man C</v>
      </c>
      <c r="C8" s="578">
        <f>IF(Picks!C8="","",Picks!C8)</f>
        <v>1</v>
      </c>
      <c r="D8" s="108">
        <f>IF(Picks!D8="","",Picks!D8)</f>
        <v>1.8333333333333335</v>
      </c>
      <c r="E8" s="109" t="str">
        <f>IF(Picks!E8="","",Picks!E8)</f>
        <v>x</v>
      </c>
      <c r="F8" s="110">
        <f>IF(Picks!F8="","",Picks!F8)</f>
        <v>-4.9000000000000004</v>
      </c>
      <c r="G8" s="111">
        <f>IF(Picks!G8="","",Picks!G8)</f>
        <v>20.106666666666673</v>
      </c>
    </row>
    <row r="9" spans="1:7" ht="13.15">
      <c r="A9" s="112"/>
      <c r="B9" s="59" t="str">
        <f>IF(Picks!B9="","",Picks!B9)</f>
        <v>Bournemouth</v>
      </c>
      <c r="C9" s="578">
        <f>IF(Picks!C9="","",Picks!C9)</f>
        <v>7</v>
      </c>
      <c r="D9" s="44">
        <f>IF(Picks!D9="","",Picks!D9)</f>
        <v>2.1</v>
      </c>
      <c r="E9" s="79" t="str">
        <f>IF(Picks!E9="","",Picks!E9)</f>
        <v>√</v>
      </c>
      <c r="F9" s="129" t="str">
        <f>IF(Picks!F9="","",Picks!F9)</f>
        <v/>
      </c>
      <c r="G9" s="44" t="str">
        <f>IF(Picks!G9="","",Picks!G9)</f>
        <v/>
      </c>
    </row>
    <row r="10" spans="1:7" ht="13.5" thickBot="1">
      <c r="A10" s="130"/>
      <c r="B10" s="125" t="str">
        <f>IF(Picks!B10="","",Picks!B10)</f>
        <v>Forest</v>
      </c>
      <c r="C10" s="579">
        <f>IF(Picks!C10="","",Picks!C10)</f>
        <v>7</v>
      </c>
      <c r="D10" s="126">
        <f>IF(Picks!D10="","",Picks!D10)</f>
        <v>2.2000000000000002</v>
      </c>
      <c r="E10" s="79" t="str">
        <f>IF(Picks!E10="","",Picks!E10)</f>
        <v>x</v>
      </c>
      <c r="F10" s="129" t="str">
        <f>IF(Picks!F10="","",Picks!F10)</f>
        <v/>
      </c>
      <c r="G10" s="44" t="str">
        <f>IF(Picks!G10="","",Picks!G10)</f>
        <v/>
      </c>
    </row>
    <row r="11" spans="1:7" ht="13.9" thickTop="1" thickBot="1">
      <c r="A11" s="112" t="str">
        <f>IF(Picks!A11="","",Picks!A11)</f>
        <v>Alex Griffin</v>
      </c>
      <c r="B11" s="107" t="str">
        <f>IF(Picks!B11="","",Picks!B11)</f>
        <v>Everton</v>
      </c>
      <c r="C11" s="578">
        <f>IF(Picks!C11="","",Picks!C11)</f>
        <v>7</v>
      </c>
      <c r="D11" s="108">
        <f>IF(Picks!D11="","",Picks!D11)</f>
        <v>3.2</v>
      </c>
      <c r="E11" s="109" t="str">
        <f>IF(Picks!E11="","",Picks!E11)</f>
        <v>x</v>
      </c>
      <c r="F11" s="110">
        <f>IF(Picks!F11="","",Picks!F11)</f>
        <v>-7</v>
      </c>
      <c r="G11" s="111">
        <f>IF(Picks!G11="","",Picks!G11)</f>
        <v>97.6</v>
      </c>
    </row>
    <row r="12" spans="1:7" ht="13.15">
      <c r="A12" s="112"/>
      <c r="B12" s="59" t="str">
        <f>IF(Picks!B12="","",Picks!B12)</f>
        <v>Chelsea</v>
      </c>
      <c r="C12" s="578">
        <f>IF(Picks!C12="","",Picks!C12)</f>
        <v>7</v>
      </c>
      <c r="D12" s="44">
        <f>IF(Picks!D12="","",Picks!D12)</f>
        <v>1.2857142857142856</v>
      </c>
      <c r="E12" s="79" t="str">
        <f>IF(Picks!E12="","",Picks!E12)</f>
        <v>x</v>
      </c>
      <c r="F12" s="129" t="str">
        <f>IF(Picks!F12="","",Picks!F12)</f>
        <v/>
      </c>
      <c r="G12" s="44" t="str">
        <f>IF(Picks!G12="","",Picks!G12)</f>
        <v/>
      </c>
    </row>
    <row r="13" spans="1:7" ht="13.5" thickBot="1">
      <c r="A13" s="130"/>
      <c r="B13" s="125" t="str">
        <f>IF(Picks!B13="","",Picks!B13)</f>
        <v>Luton</v>
      </c>
      <c r="C13" s="579">
        <f>IF(Picks!C13="","",Picks!C13)</f>
        <v>7</v>
      </c>
      <c r="D13" s="126">
        <f>IF(Picks!D13="","",Picks!D13)</f>
        <v>10</v>
      </c>
      <c r="E13" s="79" t="str">
        <f>IF(Picks!E13="","",Picks!E13)</f>
        <v>x</v>
      </c>
      <c r="F13" s="129" t="str">
        <f>IF(Picks!F13="","",Picks!F13)</f>
        <v/>
      </c>
      <c r="G13" s="44" t="str">
        <f>IF(Picks!G13="","",Picks!G13)</f>
        <v/>
      </c>
    </row>
    <row r="14" spans="1:7" ht="13.9" thickTop="1" thickBot="1">
      <c r="A14" s="112" t="str">
        <f>IF(Picks!A14="","",Picks!A14)</f>
        <v>Alfie Davies</v>
      </c>
      <c r="B14" s="107" t="str">
        <f>IF(Picks!B14="","",Picks!B14)</f>
        <v>Leicester</v>
      </c>
      <c r="C14" s="578">
        <f>IF(Picks!C14="","",Picks!C14)</f>
        <v>6</v>
      </c>
      <c r="D14" s="108">
        <f>IF(Picks!D14="","",Picks!D14)</f>
        <v>1.8</v>
      </c>
      <c r="E14" s="109" t="str">
        <f>IF(Picks!E14="","",Picks!E14)</f>
        <v>x</v>
      </c>
      <c r="F14" s="110">
        <f>IF(Picks!F14="","",Picks!F14)</f>
        <v>-7</v>
      </c>
      <c r="G14" s="111">
        <f>IF(Picks!G14="","",Picks!G14)</f>
        <v>11.772307692307692</v>
      </c>
    </row>
    <row r="15" spans="1:7" ht="13.15">
      <c r="A15" s="112"/>
      <c r="B15" s="59" t="str">
        <f>IF(Picks!B15="","",Picks!B15)</f>
        <v>Leeds</v>
      </c>
      <c r="C15" s="578">
        <f>IF(Picks!C15="","",Picks!C15)</f>
        <v>6</v>
      </c>
      <c r="D15" s="44">
        <f>IF(Picks!D15="","",Picks!D15)</f>
        <v>1.6153846153846154</v>
      </c>
      <c r="E15" s="79" t="str">
        <f>IF(Picks!E15="","",Picks!E15)</f>
        <v>x</v>
      </c>
      <c r="F15" s="129" t="str">
        <f>IF(Picks!F15="","",Picks!F15)</f>
        <v/>
      </c>
      <c r="G15" s="44" t="str">
        <f>IF(Picks!G15="","",Picks!G15)</f>
        <v/>
      </c>
    </row>
    <row r="16" spans="1:7" ht="13.5" thickBot="1">
      <c r="A16" s="130"/>
      <c r="B16" s="125" t="str">
        <f>IF(Picks!B16="","",Picks!B16)</f>
        <v>Fulham</v>
      </c>
      <c r="C16" s="579">
        <f>IF(Picks!C16="","",Picks!C16)</f>
        <v>7</v>
      </c>
      <c r="D16" s="126">
        <f>IF(Picks!D16="","",Picks!D16)</f>
        <v>1.7</v>
      </c>
      <c r="E16" s="79" t="str">
        <f>IF(Picks!E16="","",Picks!E16)</f>
        <v>x</v>
      </c>
      <c r="F16" s="129" t="str">
        <f>IF(Picks!F16="","",Picks!F16)</f>
        <v/>
      </c>
      <c r="G16" s="44" t="str">
        <f>IF(Picks!G16="","",Picks!G16)</f>
        <v/>
      </c>
    </row>
    <row r="17" spans="1:7" ht="13.9" thickTop="1" thickBot="1">
      <c r="A17" s="112" t="str">
        <f>IF(Picks!A17="","",Picks!A17)</f>
        <v>Alick Rocca</v>
      </c>
      <c r="B17" s="107" t="str">
        <f>IF(Picks!B17="","",Picks!B17)</f>
        <v>Stockport</v>
      </c>
      <c r="C17" s="578">
        <f>IF(Picks!C17="","",Picks!C17)</f>
        <v>6</v>
      </c>
      <c r="D17" s="108">
        <f>IF(Picks!D17="","",Picks!D17)</f>
        <v>1.65</v>
      </c>
      <c r="E17" s="109" t="str">
        <f>IF(Picks!E17="","",Picks!E17)</f>
        <v>√</v>
      </c>
      <c r="F17" s="110">
        <f>IF(Picks!F17="","",Picks!F17)</f>
        <v>-5.35</v>
      </c>
      <c r="G17" s="111">
        <f>IF(Picks!G17="","",Picks!G17)</f>
        <v>18.045714285714283</v>
      </c>
    </row>
    <row r="18" spans="1:7" ht="13.15">
      <c r="A18" s="112"/>
      <c r="B18" s="59" t="str">
        <f>IF(Picks!B18="","",Picks!B18)</f>
        <v>Huddersfield Draw</v>
      </c>
      <c r="C18" s="578">
        <f>IF(Picks!C18="","",Picks!C18)</f>
        <v>6</v>
      </c>
      <c r="D18" s="44">
        <f>IF(Picks!D18="","",Picks!D18)</f>
        <v>3.3</v>
      </c>
      <c r="E18" s="79" t="str">
        <f>IF(Picks!E18="","",Picks!E18)</f>
        <v>x</v>
      </c>
      <c r="F18" s="129" t="str">
        <f>IF(Picks!F18="","",Picks!F18)</f>
        <v/>
      </c>
      <c r="G18" s="44" t="str">
        <f>IF(Picks!G18="","",Picks!G18)</f>
        <v/>
      </c>
    </row>
    <row r="19" spans="1:7" ht="13.5" thickBot="1">
      <c r="A19" s="130"/>
      <c r="B19" s="125" t="str">
        <f>IF(Picks!B19="","",Picks!B19)</f>
        <v>Peterborough</v>
      </c>
      <c r="C19" s="579">
        <f>IF(Picks!C19="","",Picks!C19)</f>
        <v>6</v>
      </c>
      <c r="D19" s="126">
        <f>IF(Picks!D19="","",Picks!D19)</f>
        <v>1.2857142857142856</v>
      </c>
      <c r="E19" s="79" t="str">
        <f>IF(Picks!E19="","",Picks!E19)</f>
        <v>x</v>
      </c>
      <c r="F19" s="129" t="str">
        <f>IF(Picks!F19="","",Picks!F19)</f>
        <v/>
      </c>
      <c r="G19" s="44" t="str">
        <f>IF(Picks!G19="","",Picks!G19)</f>
        <v/>
      </c>
    </row>
    <row r="20" spans="1:7" ht="13.9" thickTop="1" thickBot="1">
      <c r="A20" s="112" t="str">
        <f>IF(Picks!A20="","",Picks!A20)</f>
        <v>Andy White</v>
      </c>
      <c r="B20" s="107" t="str">
        <f>IF(Picks!B20="","",Picks!B20)</f>
        <v>Bournemouth</v>
      </c>
      <c r="C20" s="578">
        <f>IF(Picks!C20="","",Picks!C20)</f>
        <v>7</v>
      </c>
      <c r="D20" s="108">
        <f>IF(Picks!D20="","",Picks!D20)</f>
        <v>2.1</v>
      </c>
      <c r="E20" s="109" t="str">
        <f>IF(Picks!E20="","",Picks!E20)</f>
        <v>√</v>
      </c>
      <c r="F20" s="110">
        <f>IF(Picks!F20="","",Picks!F20)</f>
        <v>0.83500000000000085</v>
      </c>
      <c r="G20" s="111">
        <f>IF(Picks!G20="","",Picks!G20)</f>
        <v>20.272000000000006</v>
      </c>
    </row>
    <row r="21" spans="1:7" ht="13.15">
      <c r="A21" s="112"/>
      <c r="B21" s="59" t="str">
        <f>IF(Picks!B21="","",Picks!B21)</f>
        <v>Man U</v>
      </c>
      <c r="C21" s="578">
        <f>IF(Picks!C21="","",Picks!C21)</f>
        <v>7</v>
      </c>
      <c r="D21" s="44">
        <f>IF(Picks!D21="","",Picks!D21)</f>
        <v>2.2000000000000002</v>
      </c>
      <c r="E21" s="79" t="str">
        <f>IF(Picks!E21="","",Picks!E21)</f>
        <v>x</v>
      </c>
      <c r="F21" s="129" t="str">
        <f>IF(Picks!F21="","",Picks!F21)</f>
        <v/>
      </c>
      <c r="G21" s="44" t="str">
        <f>IF(Picks!G21="","",Picks!G21)</f>
        <v/>
      </c>
    </row>
    <row r="22" spans="1:7" ht="13.5" thickBot="1">
      <c r="A22" s="130"/>
      <c r="B22" s="125" t="str">
        <f>IF(Picks!B22="","",Picks!B22)</f>
        <v>Newcastle</v>
      </c>
      <c r="C22" s="579">
        <f>IF(Picks!C22="","",Picks!C22)</f>
        <v>7</v>
      </c>
      <c r="D22" s="126">
        <f>IF(Picks!D22="","",Picks!D22)</f>
        <v>1.85</v>
      </c>
      <c r="E22" s="79" t="str">
        <f>IF(Picks!E22="","",Picks!E22)</f>
        <v>√</v>
      </c>
      <c r="F22" s="129" t="str">
        <f>IF(Picks!F22="","",Picks!F22)</f>
        <v/>
      </c>
      <c r="G22" s="44" t="str">
        <f>IF(Picks!G22="","",Picks!G22)</f>
        <v/>
      </c>
    </row>
    <row r="23" spans="1:7" ht="13.9" thickTop="1" thickBot="1">
      <c r="A23" s="112" t="str">
        <f>IF(Picks!A23="","",Picks!A23)</f>
        <v>Barry Birchall</v>
      </c>
      <c r="B23" s="107" t="str">
        <f>IF(Picks!B23="","",Picks!B23)</f>
        <v>Norwich</v>
      </c>
      <c r="C23" s="578">
        <f>IF(Picks!C23="","",Picks!C23)</f>
        <v>6</v>
      </c>
      <c r="D23" s="108">
        <f>IF(Picks!D23="","",Picks!D23)</f>
        <v>1.5</v>
      </c>
      <c r="E23" s="109" t="str">
        <f>IF(Picks!E23="","",Picks!E23)</f>
        <v>√</v>
      </c>
      <c r="F23" s="110">
        <f>IF(Picks!F23="","",Picks!F23)</f>
        <v>-1.375</v>
      </c>
      <c r="G23" s="111">
        <f>IF(Picks!G23="","",Picks!G23)</f>
        <v>7.1428571428571406</v>
      </c>
    </row>
    <row r="24" spans="1:7" ht="13.15">
      <c r="A24" s="112"/>
      <c r="B24" s="59" t="str">
        <f>IF(Picks!B24="","",Picks!B24)</f>
        <v>Peterborough</v>
      </c>
      <c r="C24" s="578">
        <f>IF(Picks!C24="","",Picks!C24)</f>
        <v>6</v>
      </c>
      <c r="D24" s="44">
        <f>IF(Picks!D24="","",Picks!D24)</f>
        <v>1.2857142857142856</v>
      </c>
      <c r="E24" s="79" t="str">
        <f>IF(Picks!E24="","",Picks!E24)</f>
        <v>x</v>
      </c>
      <c r="F24" s="129" t="str">
        <f>IF(Picks!F24="","",Picks!F24)</f>
        <v/>
      </c>
      <c r="G24" s="44" t="str">
        <f>IF(Picks!G24="","",Picks!G24)</f>
        <v/>
      </c>
    </row>
    <row r="25" spans="1:7" ht="13.5" thickBot="1">
      <c r="A25" s="130"/>
      <c r="B25" s="125" t="str">
        <f>IF(Picks!B25="","",Picks!B25)</f>
        <v>Stockport</v>
      </c>
      <c r="C25" s="579">
        <f>IF(Picks!C25="","",Picks!C25)</f>
        <v>6</v>
      </c>
      <c r="D25" s="126">
        <f>IF(Picks!D25="","",Picks!D25)</f>
        <v>1.65</v>
      </c>
      <c r="E25" s="79" t="str">
        <f>IF(Picks!E25="","",Picks!E25)</f>
        <v>√</v>
      </c>
      <c r="F25" s="129" t="str">
        <f>IF(Picks!F25="","",Picks!F25)</f>
        <v/>
      </c>
      <c r="G25" s="44" t="str">
        <f>IF(Picks!G25="","",Picks!G25)</f>
        <v/>
      </c>
    </row>
    <row r="26" spans="1:7" ht="13.9" thickTop="1" thickBot="1">
      <c r="A26" s="112" t="str">
        <f>IF(Picks!A26="","",Picks!A26)</f>
        <v>Ben Rosser</v>
      </c>
      <c r="B26" s="107" t="str">
        <f>IF(Picks!B26="","",Picks!B26)</f>
        <v>Forest</v>
      </c>
      <c r="C26" s="578">
        <f>IF(Picks!C26="","",Picks!C26)</f>
        <v>7</v>
      </c>
      <c r="D26" s="108">
        <f>IF(Picks!D26="","",Picks!D26)</f>
        <v>2.2000000000000002</v>
      </c>
      <c r="E26" s="109" t="str">
        <f>IF(Picks!E26="","",Picks!E26)</f>
        <v>x</v>
      </c>
      <c r="F26" s="110">
        <f>IF(Picks!F26="","",Picks!F26)</f>
        <v>-7</v>
      </c>
      <c r="G26" s="111">
        <f>IF(Picks!G26="","",Picks!G26)</f>
        <v>64.192000000000007</v>
      </c>
    </row>
    <row r="27" spans="1:7" ht="13.15">
      <c r="A27" s="112"/>
      <c r="B27" s="59" t="str">
        <f>IF(Picks!B27="","",Picks!B27)</f>
        <v>West Ham</v>
      </c>
      <c r="C27" s="578">
        <f>IF(Picks!C27="","",Picks!C27)</f>
        <v>7</v>
      </c>
      <c r="D27" s="44">
        <f>IF(Picks!D27="","",Picks!D27)</f>
        <v>3.7</v>
      </c>
      <c r="E27" s="79" t="str">
        <f>IF(Picks!E27="","",Picks!E27)</f>
        <v>x</v>
      </c>
      <c r="F27" s="129" t="str">
        <f>IF(Picks!F27="","",Picks!F27)</f>
        <v/>
      </c>
      <c r="G27" s="44" t="str">
        <f>IF(Picks!G27="","",Picks!G27)</f>
        <v/>
      </c>
    </row>
    <row r="28" spans="1:7" ht="13.5" thickBot="1">
      <c r="A28" s="130"/>
      <c r="B28" s="125" t="str">
        <f>IF(Picks!B28="","",Picks!B28)</f>
        <v>Arsenal</v>
      </c>
      <c r="C28" s="579">
        <f>IF(Picks!C28="","",Picks!C28)</f>
        <v>1</v>
      </c>
      <c r="D28" s="126">
        <f>IF(Picks!D28="","",Picks!D28)</f>
        <v>3.8</v>
      </c>
      <c r="E28" s="79" t="str">
        <f>IF(Picks!E28="","",Picks!E28)</f>
        <v>x</v>
      </c>
      <c r="F28" s="129" t="str">
        <f>IF(Picks!F28="","",Picks!F28)</f>
        <v/>
      </c>
      <c r="G28" s="44" t="str">
        <f>IF(Picks!G28="","",Picks!G28)</f>
        <v/>
      </c>
    </row>
    <row r="29" spans="1:7" ht="13.9" thickTop="1" thickBot="1">
      <c r="A29" s="112" t="str">
        <f>IF(Picks!A29="","",Picks!A29)</f>
        <v>Bob Bailey</v>
      </c>
      <c r="B29" s="107" t="str">
        <f>IF(Picks!B29="","",Picks!B29)</f>
        <v/>
      </c>
      <c r="C29" s="578" t="str">
        <f>IF(Picks!C29="","",Picks!C29)</f>
        <v/>
      </c>
      <c r="D29" s="108" t="str">
        <f>IF(Picks!D29="","",Picks!D29)</f>
        <v/>
      </c>
      <c r="E29" s="109" t="str">
        <f>IF(Picks!E29="","",Picks!E29)</f>
        <v/>
      </c>
      <c r="F29" s="110">
        <f>IF(Picks!F29="","",Picks!F29)</f>
        <v>-10</v>
      </c>
      <c r="G29" s="111" t="str">
        <f>IF(Picks!G29="","",Picks!G29)</f>
        <v/>
      </c>
    </row>
    <row r="30" spans="1:7" ht="13.15">
      <c r="A30" s="112"/>
      <c r="B30" s="59" t="str">
        <f>IF(Picks!B30="","",Picks!B30)</f>
        <v/>
      </c>
      <c r="C30" s="578" t="str">
        <f>IF(Picks!C30="","",Picks!C30)</f>
        <v/>
      </c>
      <c r="D30" s="44" t="str">
        <f>IF(Picks!D30="","",Picks!D30)</f>
        <v/>
      </c>
      <c r="E30" s="79" t="str">
        <f>IF(Picks!E30="","",Picks!E30)</f>
        <v/>
      </c>
      <c r="F30" s="129" t="str">
        <f>IF(Picks!F30="","",Picks!F30)</f>
        <v/>
      </c>
      <c r="G30" s="44" t="str">
        <f>IF(Picks!G30="","",Picks!G30)</f>
        <v/>
      </c>
    </row>
    <row r="31" spans="1:7" ht="13.5" thickBot="1">
      <c r="A31" s="130"/>
      <c r="B31" s="125" t="str">
        <f>IF(Picks!B31="","",Picks!B31)</f>
        <v/>
      </c>
      <c r="C31" s="579" t="str">
        <f>IF(Picks!C31="","",Picks!C31)</f>
        <v/>
      </c>
      <c r="D31" s="126" t="str">
        <f>IF(Picks!D31="","",Picks!D31)</f>
        <v/>
      </c>
      <c r="E31" s="79" t="str">
        <f>IF(Picks!E31="","",Picks!E31)</f>
        <v/>
      </c>
      <c r="F31" s="129" t="str">
        <f>IF(Picks!F31="","",Picks!F31)</f>
        <v/>
      </c>
      <c r="G31" s="44" t="str">
        <f>IF(Picks!G31="","",Picks!G31)</f>
        <v/>
      </c>
    </row>
    <row r="32" spans="1:7" ht="13.9" thickTop="1" thickBot="1">
      <c r="A32" s="112" t="str">
        <f>IF(Picks!A32="","",Picks!A32)</f>
        <v>Charlie Griffiths</v>
      </c>
      <c r="B32" s="107" t="str">
        <f>IF(Picks!B32="","",Picks!B32)</f>
        <v>Newport</v>
      </c>
      <c r="C32" s="578">
        <f>IF(Picks!C32="","",Picks!C32)</f>
        <v>6</v>
      </c>
      <c r="D32" s="108">
        <f>IF(Picks!D32="","",Picks!D32)</f>
        <v>3.5</v>
      </c>
      <c r="E32" s="109" t="str">
        <f>IF(Picks!E32="","",Picks!E32)</f>
        <v>x</v>
      </c>
      <c r="F32" s="110">
        <f>IF(Picks!F32="","",Picks!F32)</f>
        <v>-4.8499999999999996</v>
      </c>
      <c r="G32" s="111">
        <f>IF(Picks!G32="","",Picks!G32)</f>
        <v>33.816249999999997</v>
      </c>
    </row>
    <row r="33" spans="1:7" ht="13.15">
      <c r="A33" s="112"/>
      <c r="B33" s="59" t="str">
        <f>IF(Picks!B33="","",Picks!B33)</f>
        <v>Portsmouth</v>
      </c>
      <c r="C33" s="578">
        <f>IF(Picks!C33="","",Picks!C33)</f>
        <v>6</v>
      </c>
      <c r="D33" s="44">
        <f>IF(Picks!D33="","",Picks!D33)</f>
        <v>2.15</v>
      </c>
      <c r="E33" s="79" t="str">
        <f>IF(Picks!E33="","",Picks!E33)</f>
        <v>√</v>
      </c>
      <c r="F33" s="129" t="str">
        <f>IF(Picks!F33="","",Picks!F33)</f>
        <v/>
      </c>
      <c r="G33" s="44" t="str">
        <f>IF(Picks!G33="","",Picks!G33)</f>
        <v/>
      </c>
    </row>
    <row r="34" spans="1:7" ht="13.5" thickBot="1">
      <c r="A34" s="130"/>
      <c r="B34" s="125" t="str">
        <f>IF(Picks!B34="","",Picks!B34)</f>
        <v>Oxford</v>
      </c>
      <c r="C34" s="579">
        <f>IF(Picks!C34="","",Picks!C34)</f>
        <v>6</v>
      </c>
      <c r="D34" s="126">
        <f>IF(Picks!D34="","",Picks!D34)</f>
        <v>1.95</v>
      </c>
      <c r="E34" s="79" t="str">
        <f>IF(Picks!E34="","",Picks!E34)</f>
        <v>x</v>
      </c>
      <c r="F34" s="129" t="str">
        <f>IF(Picks!F34="","",Picks!F34)</f>
        <v/>
      </c>
      <c r="G34" s="44" t="str">
        <f>IF(Picks!G34="","",Picks!G34)</f>
        <v/>
      </c>
    </row>
    <row r="35" spans="1:7" ht="13.9" thickTop="1" thickBot="1">
      <c r="A35" s="112" t="str">
        <f>IF(Picks!A35="","",Picks!A35)</f>
        <v>Chris Bow</v>
      </c>
      <c r="B35" s="107" t="str">
        <f>IF(Picks!B35="","",Picks!B35)</f>
        <v>Hull</v>
      </c>
      <c r="C35" s="578">
        <f>IF(Picks!C35="","",Picks!C35)</f>
        <v>6</v>
      </c>
      <c r="D35" s="108">
        <f>IF(Picks!D35="","",Picks!D35)</f>
        <v>1.9090909090909092</v>
      </c>
      <c r="E35" s="109" t="str">
        <f>IF(Picks!E35="","",Picks!E35)</f>
        <v>x</v>
      </c>
      <c r="F35" s="110">
        <f>IF(Picks!F35="","",Picks!F35)</f>
        <v>-5</v>
      </c>
      <c r="G35" s="111">
        <f>IF(Picks!G35="","",Picks!G35)</f>
        <v>17.745454545454546</v>
      </c>
    </row>
    <row r="36" spans="1:7" ht="13.15">
      <c r="A36" s="112"/>
      <c r="B36" s="59" t="str">
        <f>IF(Picks!B36="","",Picks!B36)</f>
        <v>QPR</v>
      </c>
      <c r="C36" s="578">
        <f>IF(Picks!C36="","",Picks!C36)</f>
        <v>6</v>
      </c>
      <c r="D36" s="44">
        <f>IF(Picks!D36="","",Picks!D36)</f>
        <v>2</v>
      </c>
      <c r="E36" s="79" t="str">
        <f>IF(Picks!E36="","",Picks!E36)</f>
        <v>√</v>
      </c>
      <c r="F36" s="129" t="str">
        <f>IF(Picks!F36="","",Picks!F36)</f>
        <v/>
      </c>
      <c r="G36" s="44" t="str">
        <f>IF(Picks!G36="","",Picks!G36)</f>
        <v/>
      </c>
    </row>
    <row r="37" spans="1:7" ht="13.5" thickBot="1">
      <c r="A37" s="130"/>
      <c r="B37" s="125" t="str">
        <f>IF(Picks!B37="","",Picks!B37)</f>
        <v>Wigan</v>
      </c>
      <c r="C37" s="579">
        <f>IF(Picks!C37="","",Picks!C37)</f>
        <v>6</v>
      </c>
      <c r="D37" s="126">
        <f>IF(Picks!D37="","",Picks!D37)</f>
        <v>1.95</v>
      </c>
      <c r="E37" s="79" t="str">
        <f>IF(Picks!E37="","",Picks!E37)</f>
        <v>x</v>
      </c>
      <c r="F37" s="129" t="str">
        <f>IF(Picks!F37="","",Picks!F37)</f>
        <v/>
      </c>
      <c r="G37" s="44" t="str">
        <f>IF(Picks!G37="","",Picks!G37)</f>
        <v/>
      </c>
    </row>
    <row r="38" spans="1:7" ht="13.9" thickTop="1" thickBot="1">
      <c r="A38" s="112" t="str">
        <f>IF(Picks!A38="","",Picks!A38)</f>
        <v>Chris Griffin</v>
      </c>
      <c r="B38" s="107" t="str">
        <f>IF(Picks!B38="","",Picks!B38)</f>
        <v>Coventry</v>
      </c>
      <c r="C38" s="578">
        <f>IF(Picks!C38="","",Picks!C38)</f>
        <v>6</v>
      </c>
      <c r="D38" s="108">
        <f>IF(Picks!D38="","",Picks!D38)</f>
        <v>2.375</v>
      </c>
      <c r="E38" s="109" t="str">
        <f>IF(Picks!E38="","",Picks!E38)</f>
        <v>√</v>
      </c>
      <c r="F38" s="110">
        <f>IF(Picks!F38="","",Picks!F38)</f>
        <v>0.54999999999999982</v>
      </c>
      <c r="G38" s="111">
        <f>IF(Picks!G38="","",Picks!G38)</f>
        <v>17.2225</v>
      </c>
    </row>
    <row r="39" spans="1:7" ht="13.15">
      <c r="A39" s="112"/>
      <c r="B39" s="59" t="str">
        <f>IF(Picks!B39="","",Picks!B39)</f>
        <v>Preston</v>
      </c>
      <c r="C39" s="578">
        <f>IF(Picks!C39="","",Picks!C39)</f>
        <v>6</v>
      </c>
      <c r="D39" s="44">
        <f>IF(Picks!D39="","",Picks!D39)</f>
        <v>1.5333333333333332</v>
      </c>
      <c r="E39" s="79" t="str">
        <f>IF(Picks!E39="","",Picks!E39)</f>
        <v>√</v>
      </c>
      <c r="F39" s="129" t="str">
        <f>IF(Picks!F39="","",Picks!F39)</f>
        <v/>
      </c>
      <c r="G39" s="44" t="str">
        <f>IF(Picks!G39="","",Picks!G39)</f>
        <v/>
      </c>
    </row>
    <row r="40" spans="1:7" ht="13.5" thickBot="1">
      <c r="A40" s="130"/>
      <c r="B40" s="125" t="str">
        <f>IF(Picks!B40="","",Picks!B40)</f>
        <v>Wigan</v>
      </c>
      <c r="C40" s="579">
        <f>IF(Picks!C40="","",Picks!C40)</f>
        <v>6</v>
      </c>
      <c r="D40" s="126">
        <f>IF(Picks!D40="","",Picks!D40)</f>
        <v>1.95</v>
      </c>
      <c r="E40" s="79" t="str">
        <f>IF(Picks!E40="","",Picks!E40)</f>
        <v>x</v>
      </c>
      <c r="F40" s="129" t="str">
        <f>IF(Picks!F40="","",Picks!F40)</f>
        <v/>
      </c>
      <c r="G40" s="44" t="str">
        <f>IF(Picks!G40="","",Picks!G40)</f>
        <v/>
      </c>
    </row>
    <row r="41" spans="1:7" ht="13.9" thickTop="1" thickBot="1">
      <c r="A41" s="112" t="str">
        <f>IF(Picks!A41="","",Picks!A41)</f>
        <v>Chris Luck</v>
      </c>
      <c r="B41" s="107" t="str">
        <f>IF(Picks!B41="","",Picks!B41)</f>
        <v>Bournemouth</v>
      </c>
      <c r="C41" s="578">
        <f>IF(Picks!C41="","",Picks!C41)</f>
        <v>7</v>
      </c>
      <c r="D41" s="108">
        <f>IF(Picks!D41="","",Picks!D41)</f>
        <v>2.1</v>
      </c>
      <c r="E41" s="109" t="str">
        <f>IF(Picks!E41="","",Picks!E41)</f>
        <v>√</v>
      </c>
      <c r="F41" s="110">
        <f>IF(Picks!F41="","",Picks!F41)</f>
        <v>-4.9000000000000004</v>
      </c>
      <c r="G41" s="111">
        <f>IF(Picks!G41="","",Picks!G41)</f>
        <v>23.744000000000007</v>
      </c>
    </row>
    <row r="42" spans="1:7" ht="13.15">
      <c r="A42" s="112"/>
      <c r="B42" s="59" t="str">
        <f>IF(Picks!B42="","",Picks!B42)</f>
        <v>Man U</v>
      </c>
      <c r="C42" s="578">
        <f>IF(Picks!C42="","",Picks!C42)</f>
        <v>7</v>
      </c>
      <c r="D42" s="44">
        <f>IF(Picks!D42="","",Picks!D42)</f>
        <v>2.2000000000000002</v>
      </c>
      <c r="E42" s="79" t="str">
        <f>IF(Picks!E42="","",Picks!E42)</f>
        <v>x</v>
      </c>
      <c r="F42" s="129" t="str">
        <f>IF(Picks!F42="","",Picks!F42)</f>
        <v/>
      </c>
      <c r="G42" s="44" t="str">
        <f>IF(Picks!G42="","",Picks!G42)</f>
        <v/>
      </c>
    </row>
    <row r="43" spans="1:7" ht="13.5" thickBot="1">
      <c r="A43" s="130"/>
      <c r="B43" s="125" t="str">
        <f>IF(Picks!B43="","",Picks!B43)</f>
        <v>Forest</v>
      </c>
      <c r="C43" s="579">
        <f>IF(Picks!C43="","",Picks!C43)</f>
        <v>7</v>
      </c>
      <c r="D43" s="126">
        <f>IF(Picks!D43="","",Picks!D43)</f>
        <v>2.2000000000000002</v>
      </c>
      <c r="E43" s="79" t="str">
        <f>IF(Picks!E43="","",Picks!E43)</f>
        <v>x</v>
      </c>
      <c r="F43" s="129" t="str">
        <f>IF(Picks!F43="","",Picks!F43)</f>
        <v/>
      </c>
      <c r="G43" s="44" t="str">
        <f>IF(Picks!G43="","",Picks!G43)</f>
        <v/>
      </c>
    </row>
    <row r="44" spans="1:7" ht="13.9" thickTop="1" thickBot="1">
      <c r="A44" s="112" t="str">
        <f>IF(Picks!A44="","",Picks!A44)</f>
        <v>Chris Townsend</v>
      </c>
      <c r="B44" s="107" t="str">
        <f>IF(Picks!B44="","",Picks!B44)</f>
        <v>Burnley</v>
      </c>
      <c r="C44" s="578">
        <f>IF(Picks!C44="","",Picks!C44)</f>
        <v>7</v>
      </c>
      <c r="D44" s="108">
        <f>IF(Picks!D44="","",Picks!D44)</f>
        <v>9</v>
      </c>
      <c r="E44" s="109" t="str">
        <f>IF(Picks!E44="","",Picks!E44)</f>
        <v>x</v>
      </c>
      <c r="F44" s="110">
        <f>IF(Picks!F44="","",Picks!F44)</f>
        <v>-7</v>
      </c>
      <c r="G44" s="111">
        <f>IF(Picks!G44="","",Picks!G44)</f>
        <v>454</v>
      </c>
    </row>
    <row r="45" spans="1:7" ht="13.15">
      <c r="A45" s="112"/>
      <c r="B45" s="59" t="str">
        <f>IF(Picks!B45="","",Picks!B45)</f>
        <v>Luton</v>
      </c>
      <c r="C45" s="578">
        <f>IF(Picks!C45="","",Picks!C45)</f>
        <v>7</v>
      </c>
      <c r="D45" s="44">
        <f>IF(Picks!D45="","",Picks!D45)</f>
        <v>10</v>
      </c>
      <c r="E45" s="79" t="str">
        <f>IF(Picks!E45="","",Picks!E45)</f>
        <v>x</v>
      </c>
      <c r="F45" s="129" t="str">
        <f>IF(Picks!F45="","",Picks!F45)</f>
        <v/>
      </c>
      <c r="G45" s="44" t="str">
        <f>IF(Picks!G45="","",Picks!G45)</f>
        <v/>
      </c>
    </row>
    <row r="46" spans="1:7" ht="13.5" thickBot="1">
      <c r="A46" s="130"/>
      <c r="B46" s="125" t="str">
        <f>IF(Picks!B46="","",Picks!B46)</f>
        <v>Palace</v>
      </c>
      <c r="C46" s="579">
        <f>IF(Picks!C46="","",Picks!C46)</f>
        <v>7</v>
      </c>
      <c r="D46" s="126">
        <f>IF(Picks!D46="","",Picks!D46)</f>
        <v>3.2</v>
      </c>
      <c r="E46" s="79" t="str">
        <f>IF(Picks!E46="","",Picks!E46)</f>
        <v>x</v>
      </c>
      <c r="F46" s="129" t="str">
        <f>IF(Picks!F46="","",Picks!F46)</f>
        <v/>
      </c>
      <c r="G46" s="44" t="str">
        <f>IF(Picks!G46="","",Picks!G46)</f>
        <v/>
      </c>
    </row>
    <row r="47" spans="1:7" ht="13.9" thickTop="1" thickBot="1">
      <c r="A47" s="112" t="str">
        <f>IF(Picks!A47="","",Picks!A47)</f>
        <v>Dan Gibbard</v>
      </c>
      <c r="B47" s="107" t="str">
        <f>IF(Picks!B47="","",Picks!B47)</f>
        <v/>
      </c>
      <c r="C47" s="578" t="str">
        <f>IF(Picks!C47="","",Picks!C47)</f>
        <v/>
      </c>
      <c r="D47" s="108" t="str">
        <f>IF(Picks!D47="","",Picks!D47)</f>
        <v/>
      </c>
      <c r="E47" s="109" t="str">
        <f>IF(Picks!E47="","",Picks!E47)</f>
        <v/>
      </c>
      <c r="F47" s="110">
        <f>IF(Picks!F47="","",Picks!F47)</f>
        <v>-10</v>
      </c>
      <c r="G47" s="111" t="str">
        <f>IF(Picks!G47="","",Picks!G47)</f>
        <v/>
      </c>
    </row>
    <row r="48" spans="1:7" ht="13.15">
      <c r="A48" s="131"/>
      <c r="B48" s="59" t="str">
        <f>IF(Picks!B48="","",Picks!B48)</f>
        <v/>
      </c>
      <c r="C48" s="578" t="str">
        <f>IF(Picks!C48="","",Picks!C48)</f>
        <v/>
      </c>
      <c r="D48" s="44" t="str">
        <f>IF(Picks!D48="","",Picks!D48)</f>
        <v/>
      </c>
      <c r="E48" s="79" t="str">
        <f>IF(Picks!E48="","",Picks!E48)</f>
        <v/>
      </c>
      <c r="F48" s="129" t="str">
        <f>IF(Picks!F48="","",Picks!F48)</f>
        <v/>
      </c>
      <c r="G48" s="44" t="str">
        <f>IF(Picks!G48="","",Picks!G48)</f>
        <v/>
      </c>
    </row>
    <row r="49" spans="1:7" ht="13.5" thickBot="1">
      <c r="A49" s="130"/>
      <c r="B49" s="125" t="str">
        <f>IF(Picks!B49="","",Picks!B49)</f>
        <v/>
      </c>
      <c r="C49" s="579" t="str">
        <f>IF(Picks!C49="","",Picks!C49)</f>
        <v/>
      </c>
      <c r="D49" s="126" t="str">
        <f>IF(Picks!D49="","",Picks!D49)</f>
        <v/>
      </c>
      <c r="E49" s="79" t="str">
        <f>IF(Picks!E49="","",Picks!E49)</f>
        <v/>
      </c>
      <c r="F49" s="129" t="str">
        <f>IF(Picks!F49="","",Picks!F49)</f>
        <v/>
      </c>
      <c r="G49" s="44" t="str">
        <f>IF(Picks!G49="","",Picks!G49)</f>
        <v/>
      </c>
    </row>
    <row r="50" spans="1:7" ht="13.9" thickTop="1" thickBot="1">
      <c r="A50" s="112" t="str">
        <f>IF(Picks!A50="","",Picks!A50)</f>
        <v>Dave Bell</v>
      </c>
      <c r="B50" s="107" t="str">
        <f>IF(Picks!B50="","",Picks!B50)</f>
        <v>Brighton</v>
      </c>
      <c r="C50" s="578">
        <f>IF(Picks!C50="","",Picks!C50)</f>
        <v>1</v>
      </c>
      <c r="D50" s="108">
        <f>IF(Picks!D50="","",Picks!D50)</f>
        <v>7.5</v>
      </c>
      <c r="E50" s="109" t="str">
        <f>IF(Picks!E50="","",Picks!E50)</f>
        <v>x</v>
      </c>
      <c r="F50" s="110">
        <f>IF(Picks!F50="","",Picks!F50)</f>
        <v>-7</v>
      </c>
      <c r="G50" s="111">
        <f>IF(Picks!G50="","",Picks!G50)</f>
        <v>927</v>
      </c>
    </row>
    <row r="51" spans="1:7" ht="13.15">
      <c r="A51" s="112"/>
      <c r="B51" s="59" t="str">
        <f>IF(Picks!B51="","",Picks!B51)</f>
        <v>Luton</v>
      </c>
      <c r="C51" s="578">
        <f>IF(Picks!C51="","",Picks!C51)</f>
        <v>7</v>
      </c>
      <c r="D51" s="44">
        <f>IF(Picks!D51="","",Picks!D51)</f>
        <v>10</v>
      </c>
      <c r="E51" s="79" t="str">
        <f>IF(Picks!E51="","",Picks!E51)</f>
        <v>x</v>
      </c>
      <c r="F51" s="129" t="str">
        <f>IF(Picks!F51="","",Picks!F51)</f>
        <v/>
      </c>
      <c r="G51" s="44" t="str">
        <f>IF(Picks!G51="","",Picks!G51)</f>
        <v/>
      </c>
    </row>
    <row r="52" spans="1:7" ht="13.5" thickBot="1">
      <c r="A52" s="130"/>
      <c r="B52" s="125" t="str">
        <f>IF(Picks!B52="","",Picks!B52)</f>
        <v>Burnley</v>
      </c>
      <c r="C52" s="579">
        <f>IF(Picks!C52="","",Picks!C52)</f>
        <v>7</v>
      </c>
      <c r="D52" s="126">
        <f>IF(Picks!D52="","",Picks!D52)</f>
        <v>9</v>
      </c>
      <c r="E52" s="79" t="str">
        <f>IF(Picks!E52="","",Picks!E52)</f>
        <v>x</v>
      </c>
      <c r="F52" s="129" t="str">
        <f>IF(Picks!F52="","",Picks!F52)</f>
        <v/>
      </c>
      <c r="G52" s="44" t="str">
        <f>IF(Picks!G52="","",Picks!G52)</f>
        <v/>
      </c>
    </row>
    <row r="53" spans="1:7" ht="13.9" thickTop="1" thickBot="1">
      <c r="A53" s="112" t="str">
        <f>IF(Picks!A53="","",Picks!A53)</f>
        <v>Dave Orrell</v>
      </c>
      <c r="B53" s="107" t="str">
        <f>IF(Picks!B53="","",Picks!B53)</f>
        <v/>
      </c>
      <c r="C53" s="578" t="str">
        <f>IF(Picks!C53="","",Picks!C53)</f>
        <v/>
      </c>
      <c r="D53" s="108" t="str">
        <f>IF(Picks!D53="","",Picks!D53)</f>
        <v/>
      </c>
      <c r="E53" s="109" t="str">
        <f>IF(Picks!E53="","",Picks!E53)</f>
        <v/>
      </c>
      <c r="F53" s="110">
        <f>IF(Picks!F53="","",Picks!F53)</f>
        <v>-10</v>
      </c>
      <c r="G53" s="111" t="str">
        <f>IF(Picks!G53="","",Picks!G53)</f>
        <v/>
      </c>
    </row>
    <row r="54" spans="1:7" ht="13.15">
      <c r="A54" s="112"/>
      <c r="B54" s="59" t="str">
        <f>IF(Picks!B54="","",Picks!B54)</f>
        <v/>
      </c>
      <c r="C54" s="578" t="str">
        <f>IF(Picks!C54="","",Picks!C54)</f>
        <v/>
      </c>
      <c r="D54" s="44" t="str">
        <f>IF(Picks!D54="","",Picks!D54)</f>
        <v/>
      </c>
      <c r="E54" s="79" t="str">
        <f>IF(Picks!E54="","",Picks!E54)</f>
        <v/>
      </c>
      <c r="F54" s="129" t="str">
        <f>IF(Picks!F54="","",Picks!F54)</f>
        <v/>
      </c>
      <c r="G54" s="44" t="str">
        <f>IF(Picks!G54="","",Picks!G54)</f>
        <v/>
      </c>
    </row>
    <row r="55" spans="1:7" ht="13.5" thickBot="1">
      <c r="A55" s="130"/>
      <c r="B55" s="125" t="str">
        <f>IF(Picks!B55="","",Picks!B55)</f>
        <v/>
      </c>
      <c r="C55" s="579" t="str">
        <f>IF(Picks!C55="","",Picks!C55)</f>
        <v/>
      </c>
      <c r="D55" s="126" t="str">
        <f>IF(Picks!D55="","",Picks!D55)</f>
        <v/>
      </c>
      <c r="E55" s="79" t="str">
        <f>IF(Picks!E55="","",Picks!E55)</f>
        <v/>
      </c>
      <c r="F55" s="129" t="str">
        <f>IF(Picks!F55="","",Picks!F55)</f>
        <v/>
      </c>
      <c r="G55" s="44" t="str">
        <f>IF(Picks!G55="","",Picks!G55)</f>
        <v/>
      </c>
    </row>
    <row r="56" spans="1:7" ht="13.9" thickTop="1" thickBot="1">
      <c r="A56" s="112" t="str">
        <f>IF(Picks!A56="","",Picks!A56)</f>
        <v>David Dunn</v>
      </c>
      <c r="B56" s="107" t="str">
        <f>IF(Picks!B56="","",Picks!B56)</f>
        <v>Everton</v>
      </c>
      <c r="C56" s="578">
        <f>IF(Picks!C56="","",Picks!C56)</f>
        <v>7</v>
      </c>
      <c r="D56" s="108">
        <f>IF(Picks!D56="","",Picks!D56)</f>
        <v>3.2</v>
      </c>
      <c r="E56" s="109" t="str">
        <f>IF(Picks!E56="","",Picks!E56)</f>
        <v>x</v>
      </c>
      <c r="F56" s="110">
        <f>IF(Picks!F56="","",Picks!F56)</f>
        <v>-7</v>
      </c>
      <c r="G56" s="111">
        <f>IF(Picks!G56="","",Picks!G56)</f>
        <v>22.72</v>
      </c>
    </row>
    <row r="57" spans="1:7" ht="13.15">
      <c r="A57" s="112"/>
      <c r="B57" s="59" t="str">
        <f>IF(Picks!B57="","",Picks!B57)</f>
        <v>Man U</v>
      </c>
      <c r="C57" s="578">
        <f>IF(Picks!C57="","",Picks!C57)</f>
        <v>7</v>
      </c>
      <c r="D57" s="44">
        <f>IF(Picks!D57="","",Picks!D57)</f>
        <v>2.2000000000000002</v>
      </c>
      <c r="E57" s="79" t="str">
        <f>IF(Picks!E57="","",Picks!E57)</f>
        <v>x</v>
      </c>
      <c r="F57" s="129" t="str">
        <f>IF(Picks!F57="","",Picks!F57)</f>
        <v/>
      </c>
      <c r="G57" s="44" t="str">
        <f>IF(Picks!G57="","",Picks!G57)</f>
        <v/>
      </c>
    </row>
    <row r="58" spans="1:7" ht="13.5" thickBot="1">
      <c r="A58" s="130"/>
      <c r="B58" s="125" t="str">
        <f>IF(Picks!B58="","",Picks!B58)</f>
        <v>Chelsea</v>
      </c>
      <c r="C58" s="579">
        <f>IF(Picks!C58="","",Picks!C58)</f>
        <v>7</v>
      </c>
      <c r="D58" s="126">
        <f>IF(Picks!D58="","",Picks!D58)</f>
        <v>1.2857142857142856</v>
      </c>
      <c r="E58" s="79" t="str">
        <f>IF(Picks!E58="","",Picks!E58)</f>
        <v>x</v>
      </c>
      <c r="F58" s="129" t="str">
        <f>IF(Picks!F58="","",Picks!F58)</f>
        <v/>
      </c>
      <c r="G58" s="44" t="str">
        <f>IF(Picks!G58="","",Picks!G58)</f>
        <v/>
      </c>
    </row>
    <row r="59" spans="1:7" ht="13.9" thickTop="1" thickBot="1">
      <c r="A59" s="112" t="str">
        <f>IF(Picks!A59="","",Picks!A59)</f>
        <v>Emma McDermott</v>
      </c>
      <c r="B59" s="107" t="str">
        <f>IF(Picks!B59="","",Picks!B59)</f>
        <v/>
      </c>
      <c r="C59" s="578" t="str">
        <f>IF(Picks!C59="","",Picks!C59)</f>
        <v/>
      </c>
      <c r="D59" s="108" t="str">
        <f>IF(Picks!D59="","",Picks!D59)</f>
        <v/>
      </c>
      <c r="E59" s="109" t="str">
        <f>IF(Picks!E59="","",Picks!E59)</f>
        <v/>
      </c>
      <c r="F59" s="110">
        <f>IF(Picks!F59="","",Picks!F59)</f>
        <v>-10</v>
      </c>
      <c r="G59" s="111" t="str">
        <f>IF(Picks!G59="","",Picks!G59)</f>
        <v/>
      </c>
    </row>
    <row r="60" spans="1:7" ht="13.15">
      <c r="A60" s="112"/>
      <c r="B60" s="59" t="str">
        <f>IF(Picks!B60="","",Picks!B60)</f>
        <v/>
      </c>
      <c r="C60" s="578" t="str">
        <f>IF(Picks!C60="","",Picks!C60)</f>
        <v/>
      </c>
      <c r="D60" s="44" t="str">
        <f>IF(Picks!D60="","",Picks!D60)</f>
        <v/>
      </c>
      <c r="E60" s="79" t="str">
        <f>IF(Picks!E60="","",Picks!E60)</f>
        <v/>
      </c>
      <c r="F60" s="129" t="str">
        <f>IF(Picks!F60="","",Picks!F60)</f>
        <v/>
      </c>
      <c r="G60" s="44" t="str">
        <f>IF(Picks!G60="","",Picks!G60)</f>
        <v/>
      </c>
    </row>
    <row r="61" spans="1:7" ht="13.5" thickBot="1">
      <c r="A61" s="130"/>
      <c r="B61" s="125" t="str">
        <f>IF(Picks!B61="","",Picks!B61)</f>
        <v/>
      </c>
      <c r="C61" s="579" t="str">
        <f>IF(Picks!C61="","",Picks!C61)</f>
        <v/>
      </c>
      <c r="D61" s="126" t="str">
        <f>IF(Picks!D61="","",Picks!D61)</f>
        <v/>
      </c>
      <c r="E61" s="79" t="str">
        <f>IF(Picks!E61="","",Picks!E61)</f>
        <v/>
      </c>
      <c r="F61" s="129" t="str">
        <f>IF(Picks!F61="","",Picks!F61)</f>
        <v/>
      </c>
      <c r="G61" s="44" t="str">
        <f>IF(Picks!G61="","",Picks!G61)</f>
        <v/>
      </c>
    </row>
    <row r="62" spans="1:7" ht="13.9" thickTop="1" thickBot="1">
      <c r="A62" s="112" t="str">
        <f>IF(Picks!A62="","",Picks!A62)</f>
        <v>Frank Allen</v>
      </c>
      <c r="B62" s="107" t="str">
        <f>IF(Picks!B62="","",Picks!B62)</f>
        <v>Leeds</v>
      </c>
      <c r="C62" s="578">
        <f>IF(Picks!C62="","",Picks!C62)</f>
        <v>6</v>
      </c>
      <c r="D62" s="108">
        <f>IF(Picks!D62="","",Picks!D62)</f>
        <v>1.6153846153846154</v>
      </c>
      <c r="E62" s="109" t="str">
        <f>IF(Picks!E62="","",Picks!E62)</f>
        <v>x</v>
      </c>
      <c r="F62" s="110">
        <f>IF(Picks!F62="","",Picks!F62)</f>
        <v>-4.8499999999999996</v>
      </c>
      <c r="G62" s="111">
        <f>IF(Picks!G62="","",Picks!G62)</f>
        <v>16.715384615384615</v>
      </c>
    </row>
    <row r="63" spans="1:7" ht="13.15">
      <c r="A63" s="112"/>
      <c r="B63" s="59" t="str">
        <f>IF(Picks!B63="","",Picks!B63)</f>
        <v>Fleetwood</v>
      </c>
      <c r="C63" s="578">
        <f>IF(Picks!C63="","",Picks!C63)</f>
        <v>6</v>
      </c>
      <c r="D63" s="44">
        <f>IF(Picks!D63="","",Picks!D63)</f>
        <v>2</v>
      </c>
      <c r="E63" s="79" t="str">
        <f>IF(Picks!E63="","",Picks!E63)</f>
        <v>x</v>
      </c>
      <c r="F63" s="129" t="str">
        <f>IF(Picks!F63="","",Picks!F63)</f>
        <v/>
      </c>
      <c r="G63" s="44" t="str">
        <f>IF(Picks!G63="","",Picks!G63)</f>
        <v/>
      </c>
    </row>
    <row r="64" spans="1:7" ht="13.5" thickBot="1">
      <c r="A64" s="130"/>
      <c r="B64" s="125" t="str">
        <f>IF(Picks!B64="","",Picks!B64)</f>
        <v>Portsmouth</v>
      </c>
      <c r="C64" s="579">
        <f>IF(Picks!C64="","",Picks!C64)</f>
        <v>6</v>
      </c>
      <c r="D64" s="126">
        <f>IF(Picks!D64="","",Picks!D64)</f>
        <v>2.15</v>
      </c>
      <c r="E64" s="79" t="str">
        <f>IF(Picks!E64="","",Picks!E64)</f>
        <v>√</v>
      </c>
      <c r="F64" s="129" t="str">
        <f>IF(Picks!F64="","",Picks!F64)</f>
        <v/>
      </c>
      <c r="G64" s="44" t="str">
        <f>IF(Picks!G64="","",Picks!G64)</f>
        <v/>
      </c>
    </row>
    <row r="65" spans="1:7" ht="13.9" thickTop="1" thickBot="1">
      <c r="A65" s="112" t="str">
        <f>IF(Picks!A65="","",Picks!A65)</f>
        <v>Gareth Powell</v>
      </c>
      <c r="B65" s="107" t="str">
        <f>IF(Picks!B65="","",Picks!B65)</f>
        <v>Man U</v>
      </c>
      <c r="C65" s="578">
        <f>IF(Picks!C65="","",Picks!C65)</f>
        <v>7</v>
      </c>
      <c r="D65" s="108">
        <f>IF(Picks!D65="","",Picks!D65)</f>
        <v>2.2000000000000002</v>
      </c>
      <c r="E65" s="109" t="str">
        <f>IF(Picks!E65="","",Picks!E65)</f>
        <v>x</v>
      </c>
      <c r="F65" s="110">
        <f>IF(Picks!F65="","",Picks!F65)</f>
        <v>14</v>
      </c>
      <c r="G65" s="111">
        <f>IF(Picks!G65="","",Picks!G65)</f>
        <v>62.400000000000006</v>
      </c>
    </row>
    <row r="66" spans="1:7" ht="13.15">
      <c r="A66" s="112"/>
      <c r="B66" s="59" t="str">
        <f>IF(Picks!B66="","",Picks!B66)</f>
        <v>Forest draw</v>
      </c>
      <c r="C66" s="578">
        <f>IF(Picks!C66="","",Picks!C66)</f>
        <v>7</v>
      </c>
      <c r="D66" s="44">
        <f>IF(Picks!D66="","",Picks!D66)</f>
        <v>3.4</v>
      </c>
      <c r="E66" s="79" t="str">
        <f>IF(Picks!E66="","",Picks!E66)</f>
        <v>√</v>
      </c>
      <c r="F66" s="129" t="str">
        <f>IF(Picks!F66="","",Picks!F66)</f>
        <v/>
      </c>
      <c r="G66" s="44" t="str">
        <f>IF(Picks!G66="","",Picks!G66)</f>
        <v/>
      </c>
    </row>
    <row r="67" spans="1:7" ht="13.5" thickBot="1">
      <c r="A67" s="130"/>
      <c r="B67" s="125" t="str">
        <f>IF(Picks!B67="","",Picks!B67)</f>
        <v>Man C draw</v>
      </c>
      <c r="C67" s="579">
        <f>IF(Picks!C67="","",Picks!C67)</f>
        <v>1</v>
      </c>
      <c r="D67" s="126">
        <f>IF(Picks!D67="","",Picks!D67)</f>
        <v>4</v>
      </c>
      <c r="E67" s="79" t="str">
        <f>IF(Picks!E67="","",Picks!E67)</f>
        <v>√</v>
      </c>
      <c r="F67" s="129" t="str">
        <f>IF(Picks!F67="","",Picks!F67)</f>
        <v/>
      </c>
      <c r="G67" s="44" t="str">
        <f>IF(Picks!G67="","",Picks!G67)</f>
        <v/>
      </c>
    </row>
    <row r="68" spans="1:7" ht="13.9" thickTop="1" thickBot="1">
      <c r="A68" s="112" t="str">
        <f>IF(Picks!A68="","",Picks!A68)</f>
        <v>Gerard Ventom</v>
      </c>
      <c r="B68" s="107" t="str">
        <f>IF(Picks!B68="","",Picks!B68)</f>
        <v>Coventry</v>
      </c>
      <c r="C68" s="578">
        <f>IF(Picks!C68="","",Picks!C68)</f>
        <v>6</v>
      </c>
      <c r="D68" s="108">
        <f>IF(Picks!D68="","",Picks!D68)</f>
        <v>2.375</v>
      </c>
      <c r="E68" s="109" t="str">
        <f>IF(Picks!E68="","",Picks!E68)</f>
        <v>√</v>
      </c>
      <c r="F68" s="110">
        <f>IF(Picks!F68="","",Picks!F68)</f>
        <v>62.2</v>
      </c>
      <c r="G68" s="111">
        <f>IF(Picks!G68="","",Picks!G68)</f>
        <v>62.2</v>
      </c>
    </row>
    <row r="69" spans="1:7" ht="13.15">
      <c r="A69" s="112"/>
      <c r="B69" s="59" t="str">
        <f>IF(Picks!B69="","",Picks!B69)</f>
        <v>Millwall draw</v>
      </c>
      <c r="C69" s="578">
        <f>IF(Picks!C69="","",Picks!C69)</f>
        <v>6</v>
      </c>
      <c r="D69" s="44">
        <f>IF(Picks!D69="","",Picks!D69)</f>
        <v>3</v>
      </c>
      <c r="E69" s="79" t="str">
        <f>IF(Picks!E69="","",Picks!E69)</f>
        <v>√</v>
      </c>
      <c r="F69" s="129" t="str">
        <f>IF(Picks!F69="","",Picks!F69)</f>
        <v/>
      </c>
      <c r="G69" s="44" t="str">
        <f>IF(Picks!G69="","",Picks!G69)</f>
        <v/>
      </c>
    </row>
    <row r="70" spans="1:7" ht="13.5" thickBot="1">
      <c r="A70" s="130"/>
      <c r="B70" s="125" t="str">
        <f>IF(Picks!B70="","",Picks!B70)</f>
        <v>Southampton draw</v>
      </c>
      <c r="C70" s="579">
        <f>IF(Picks!C70="","",Picks!C70)</f>
        <v>6</v>
      </c>
      <c r="D70" s="126">
        <f>IF(Picks!D70="","",Picks!D70)</f>
        <v>4.2</v>
      </c>
      <c r="E70" s="79" t="str">
        <f>IF(Picks!E70="","",Picks!E70)</f>
        <v>√</v>
      </c>
      <c r="F70" s="129" t="str">
        <f>IF(Picks!F70="","",Picks!F70)</f>
        <v/>
      </c>
      <c r="G70" s="44" t="str">
        <f>IF(Picks!G70="","",Picks!G70)</f>
        <v/>
      </c>
    </row>
    <row r="71" spans="1:7" ht="13.9" thickTop="1" thickBot="1">
      <c r="A71" s="112" t="str">
        <f>IF(Picks!A71="","",Picks!A71)</f>
        <v>Graham Miller</v>
      </c>
      <c r="B71" s="107" t="str">
        <f>IF(Picks!B71="","",Picks!B71)</f>
        <v>Newcastle</v>
      </c>
      <c r="C71" s="578">
        <f>IF(Picks!C71="","",Picks!C71)</f>
        <v>7</v>
      </c>
      <c r="D71" s="108">
        <f>IF(Picks!D71="","",Picks!D71)</f>
        <v>1.85</v>
      </c>
      <c r="E71" s="109" t="str">
        <f>IF(Picks!E71="","",Picks!E71)</f>
        <v>√</v>
      </c>
      <c r="F71" s="110">
        <f>IF(Picks!F71="","",Picks!F71)</f>
        <v>0.83500000000000085</v>
      </c>
      <c r="G71" s="111">
        <f>IF(Picks!G71="","",Picks!G71)</f>
        <v>26.456499999999998</v>
      </c>
    </row>
    <row r="72" spans="1:7" ht="13.15">
      <c r="A72" s="112"/>
      <c r="B72" s="59" t="str">
        <f>IF(Picks!B72="","",Picks!B72)</f>
        <v>Bournemouth</v>
      </c>
      <c r="C72" s="578">
        <f>IF(Picks!C72="","",Picks!C72)</f>
        <v>7</v>
      </c>
      <c r="D72" s="44">
        <f>IF(Picks!D72="","",Picks!D72)</f>
        <v>2.1</v>
      </c>
      <c r="E72" s="79" t="str">
        <f>IF(Picks!E72="","",Picks!E72)</f>
        <v>√</v>
      </c>
      <c r="F72" s="129" t="str">
        <f>IF(Picks!F72="","",Picks!F72)</f>
        <v/>
      </c>
      <c r="G72" s="44" t="str">
        <f>IF(Picks!G72="","",Picks!G72)</f>
        <v/>
      </c>
    </row>
    <row r="73" spans="1:7" ht="13.5" thickBot="1">
      <c r="A73" s="130"/>
      <c r="B73" s="125" t="str">
        <f>IF(Picks!B73="","",Picks!B73)</f>
        <v>Brentford</v>
      </c>
      <c r="C73" s="579">
        <f>IF(Picks!C73="","",Picks!C73)</f>
        <v>7</v>
      </c>
      <c r="D73" s="126">
        <f>IF(Picks!D73="","",Picks!D73)</f>
        <v>2.9</v>
      </c>
      <c r="E73" s="79" t="str">
        <f>IF(Picks!E73="","",Picks!E73)</f>
        <v>x</v>
      </c>
      <c r="F73" s="129" t="str">
        <f>IF(Picks!F73="","",Picks!F73)</f>
        <v/>
      </c>
      <c r="G73" s="44" t="str">
        <f>IF(Picks!G73="","",Picks!G73)</f>
        <v/>
      </c>
    </row>
    <row r="74" spans="1:7" ht="13.9" thickTop="1" thickBot="1">
      <c r="A74" s="112" t="str">
        <f>IF(Picks!A74="","",Picks!A74)</f>
        <v>Howard Bradley</v>
      </c>
      <c r="B74" s="107" t="str">
        <f>IF(Picks!B74="","",Picks!B74)</f>
        <v>Leicester</v>
      </c>
      <c r="C74" s="578">
        <f>IF(Picks!C74="","",Picks!C74)</f>
        <v>6</v>
      </c>
      <c r="D74" s="108">
        <f>IF(Picks!D74="","",Picks!D74)</f>
        <v>1.8</v>
      </c>
      <c r="E74" s="109" t="str">
        <f>IF(Picks!E74="","",Picks!E74)</f>
        <v>x</v>
      </c>
      <c r="F74" s="110">
        <f>IF(Picks!F74="","",Picks!F74)</f>
        <v>-5</v>
      </c>
      <c r="G74" s="111">
        <f>IF(Picks!G74="","",Picks!G74)</f>
        <v>16.436363636363637</v>
      </c>
    </row>
    <row r="75" spans="1:7" ht="13.15">
      <c r="A75" s="112"/>
      <c r="B75" s="59" t="str">
        <f>IF(Picks!B75="","",Picks!B75)</f>
        <v>Hull</v>
      </c>
      <c r="C75" s="578">
        <f>IF(Picks!C75="","",Picks!C75)</f>
        <v>6</v>
      </c>
      <c r="D75" s="44">
        <f>IF(Picks!D75="","",Picks!D75)</f>
        <v>1.9090909090909092</v>
      </c>
      <c r="E75" s="79" t="str">
        <f>IF(Picks!E75="","",Picks!E75)</f>
        <v>x</v>
      </c>
      <c r="F75" s="129" t="str">
        <f>IF(Picks!F75="","",Picks!F75)</f>
        <v/>
      </c>
      <c r="G75" s="44" t="str">
        <f>IF(Picks!G75="","",Picks!G75)</f>
        <v/>
      </c>
    </row>
    <row r="76" spans="1:7" ht="13.5" thickBot="1">
      <c r="A76" s="130"/>
      <c r="B76" s="125" t="str">
        <f>IF(Picks!B76="","",Picks!B76)</f>
        <v>Lincoln</v>
      </c>
      <c r="C76" s="579">
        <f>IF(Picks!C76="","",Picks!C76)</f>
        <v>6</v>
      </c>
      <c r="D76" s="126">
        <f>IF(Picks!D76="","",Picks!D76)</f>
        <v>2</v>
      </c>
      <c r="E76" s="79" t="str">
        <f>IF(Picks!E76="","",Picks!E76)</f>
        <v>√</v>
      </c>
      <c r="F76" s="129" t="str">
        <f>IF(Picks!F76="","",Picks!F76)</f>
        <v/>
      </c>
      <c r="G76" s="44" t="str">
        <f>IF(Picks!G76="","",Picks!G76)</f>
        <v/>
      </c>
    </row>
    <row r="77" spans="1:7" ht="13.9" thickTop="1" thickBot="1">
      <c r="A77" s="112" t="str">
        <f>IF(Picks!A77="","",Picks!A77)</f>
        <v>Jack Walsh</v>
      </c>
      <c r="B77" s="107" t="str">
        <f>IF(Picks!B77="","",Picks!B77)</f>
        <v>Barrow</v>
      </c>
      <c r="C77" s="578">
        <f>IF(Picks!C77="","",Picks!C77)</f>
        <v>6</v>
      </c>
      <c r="D77" s="108">
        <f>IF(Picks!D77="","",Picks!D77)</f>
        <v>1.95</v>
      </c>
      <c r="E77" s="109" t="str">
        <f>IF(Picks!E77="","",Picks!E77)</f>
        <v>√</v>
      </c>
      <c r="F77" s="110">
        <f>IF(Picks!F77="","",Picks!F77)</f>
        <v>-0.52666666666666728</v>
      </c>
      <c r="G77" s="111">
        <f>IF(Picks!G77="","",Picks!G77)</f>
        <v>12.925333333333334</v>
      </c>
    </row>
    <row r="78" spans="1:7" ht="13.15">
      <c r="A78" s="112"/>
      <c r="B78" s="59" t="str">
        <f>IF(Picks!B78="","",Picks!B78)</f>
        <v>Preston</v>
      </c>
      <c r="C78" s="578">
        <f>IF(Picks!C78="","",Picks!C78)</f>
        <v>6</v>
      </c>
      <c r="D78" s="44">
        <f>IF(Picks!D78="","",Picks!D78)</f>
        <v>1.5333333333333332</v>
      </c>
      <c r="E78" s="79" t="str">
        <f>IF(Picks!E78="","",Picks!E78)</f>
        <v>√</v>
      </c>
      <c r="F78" s="129" t="str">
        <f>IF(Picks!F78="","",Picks!F78)</f>
        <v/>
      </c>
      <c r="G78" s="44" t="str">
        <f>IF(Picks!G78="","",Picks!G78)</f>
        <v/>
      </c>
    </row>
    <row r="79" spans="1:7" ht="13.5" thickBot="1">
      <c r="A79" s="130"/>
      <c r="B79" s="125" t="str">
        <f>IF(Picks!B79="","",Picks!B79)</f>
        <v>Salford</v>
      </c>
      <c r="C79" s="579">
        <f>IF(Picks!C79="","",Picks!C79)</f>
        <v>6</v>
      </c>
      <c r="D79" s="126">
        <f>IF(Picks!D79="","",Picks!D79)</f>
        <v>1.8</v>
      </c>
      <c r="E79" s="79" t="str">
        <f>IF(Picks!E79="","",Picks!E79)</f>
        <v>x</v>
      </c>
      <c r="F79" s="129" t="str">
        <f>IF(Picks!F79="","",Picks!F79)</f>
        <v/>
      </c>
      <c r="G79" s="44" t="str">
        <f>IF(Picks!G79="","",Picks!G79)</f>
        <v/>
      </c>
    </row>
    <row r="80" spans="1:7" ht="13.9" thickTop="1" thickBot="1">
      <c r="A80" s="112" t="str">
        <f>IF(Picks!A80="","",Picks!A80)</f>
        <v>John Murphy</v>
      </c>
      <c r="B80" s="107" t="str">
        <f>IF(Picks!B80="","",Picks!B80)</f>
        <v/>
      </c>
      <c r="C80" s="578" t="str">
        <f>IF(Picks!C80="","",Picks!C80)</f>
        <v/>
      </c>
      <c r="D80" s="108" t="str">
        <f>IF(Picks!D80="","",Picks!D80)</f>
        <v/>
      </c>
      <c r="E80" s="109" t="str">
        <f>IF(Picks!E80="","",Picks!E80)</f>
        <v/>
      </c>
      <c r="F80" s="110">
        <f>IF(Picks!F80="","",Picks!F80)</f>
        <v>-10</v>
      </c>
      <c r="G80" s="111" t="str">
        <f>IF(Picks!G80="","",Picks!G80)</f>
        <v/>
      </c>
    </row>
    <row r="81" spans="1:7" ht="13.15">
      <c r="A81" s="112"/>
      <c r="B81" s="59" t="str">
        <f>IF(Picks!B81="","",Picks!B81)</f>
        <v/>
      </c>
      <c r="C81" s="578" t="str">
        <f>IF(Picks!C81="","",Picks!C81)</f>
        <v/>
      </c>
      <c r="D81" s="44" t="str">
        <f>IF(Picks!D81="","",Picks!D81)</f>
        <v/>
      </c>
      <c r="E81" s="79" t="str">
        <f>IF(Picks!E81="","",Picks!E81)</f>
        <v/>
      </c>
      <c r="F81" s="129" t="str">
        <f>IF(Picks!F81="","",Picks!F81)</f>
        <v/>
      </c>
      <c r="G81" s="44" t="str">
        <f>IF(Picks!G81="","",Picks!G81)</f>
        <v/>
      </c>
    </row>
    <row r="82" spans="1:7" ht="13.5" thickBot="1">
      <c r="A82" s="130"/>
      <c r="B82" s="125" t="str">
        <f>IF(Picks!B82="","",Picks!B82)</f>
        <v/>
      </c>
      <c r="C82" s="579" t="str">
        <f>IF(Picks!C82="","",Picks!C82)</f>
        <v/>
      </c>
      <c r="D82" s="126" t="str">
        <f>IF(Picks!D82="","",Picks!D82)</f>
        <v/>
      </c>
      <c r="E82" s="79" t="str">
        <f>IF(Picks!E82="","",Picks!E82)</f>
        <v/>
      </c>
      <c r="F82" s="129" t="str">
        <f>IF(Picks!F82="","",Picks!F82)</f>
        <v/>
      </c>
      <c r="G82" s="44" t="str">
        <f>IF(Picks!G82="","",Picks!G82)</f>
        <v/>
      </c>
    </row>
    <row r="83" spans="1:7" ht="13.9" thickTop="1" thickBot="1">
      <c r="A83" s="112" t="str">
        <f>IF(Picks!A83="","",Picks!A83)</f>
        <v>Julie Dodd</v>
      </c>
      <c r="B83" s="107" t="str">
        <f>IF(Picks!B83="","",Picks!B83)</f>
        <v/>
      </c>
      <c r="C83" s="578" t="str">
        <f>IF(Picks!C83="","",Picks!C83)</f>
        <v/>
      </c>
      <c r="D83" s="108" t="str">
        <f>IF(Picks!D83="","",Picks!D83)</f>
        <v/>
      </c>
      <c r="E83" s="109" t="str">
        <f>IF(Picks!E83="","",Picks!E83)</f>
        <v/>
      </c>
      <c r="F83" s="110">
        <f>IF(Picks!F83="","",Picks!F83)</f>
        <v>-10</v>
      </c>
      <c r="G83" s="111" t="str">
        <f>IF(Picks!G83="","",Picks!G83)</f>
        <v/>
      </c>
    </row>
    <row r="84" spans="1:7" ht="13.15">
      <c r="A84" s="112"/>
      <c r="B84" s="59" t="str">
        <f>IF(Picks!B84="","",Picks!B84)</f>
        <v/>
      </c>
      <c r="C84" s="578" t="str">
        <f>IF(Picks!C84="","",Picks!C84)</f>
        <v/>
      </c>
      <c r="D84" s="44" t="str">
        <f>IF(Picks!D84="","",Picks!D84)</f>
        <v/>
      </c>
      <c r="E84" s="79" t="str">
        <f>IF(Picks!E84="","",Picks!E84)</f>
        <v/>
      </c>
      <c r="F84" s="129" t="str">
        <f>IF(Picks!F84="","",Picks!F84)</f>
        <v/>
      </c>
      <c r="G84" s="44" t="str">
        <f>IF(Picks!G84="","",Picks!G84)</f>
        <v/>
      </c>
    </row>
    <row r="85" spans="1:7" ht="13.5" thickBot="1">
      <c r="A85" s="130"/>
      <c r="B85" s="125" t="str">
        <f>IF(Picks!B85="","",Picks!B85)</f>
        <v/>
      </c>
      <c r="C85" s="579" t="str">
        <f>IF(Picks!C85="","",Picks!C85)</f>
        <v/>
      </c>
      <c r="D85" s="126" t="str">
        <f>IF(Picks!D85="","",Picks!D85)</f>
        <v/>
      </c>
      <c r="E85" s="79" t="str">
        <f>IF(Picks!E85="","",Picks!E85)</f>
        <v/>
      </c>
      <c r="F85" s="129" t="str">
        <f>IF(Picks!F85="","",Picks!F85)</f>
        <v/>
      </c>
      <c r="G85" s="44" t="str">
        <f>IF(Picks!G85="","",Picks!G85)</f>
        <v/>
      </c>
    </row>
    <row r="86" spans="1:7" ht="13.9" thickTop="1" thickBot="1">
      <c r="A86" s="112" t="str">
        <f>IF(Picks!A86="","",Picks!A86)</f>
        <v>Kevin Carter</v>
      </c>
      <c r="B86" s="107" t="str">
        <f>IF(Picks!B86="","",Picks!B86)</f>
        <v>Leeds</v>
      </c>
      <c r="C86" s="578">
        <f>IF(Picks!C86="","",Picks!C86)</f>
        <v>6</v>
      </c>
      <c r="D86" s="108">
        <f>IF(Picks!D86="","",Picks!D86)</f>
        <v>1.6153846153846154</v>
      </c>
      <c r="E86" s="109" t="str">
        <f>IF(Picks!E86="","",Picks!E86)</f>
        <v>x</v>
      </c>
      <c r="F86" s="110">
        <f>IF(Picks!F86="","",Picks!F86)</f>
        <v>-0.63030303030303081</v>
      </c>
      <c r="G86" s="111">
        <f>IF(Picks!G86="","",Picks!G86)</f>
        <v>11.274592074592075</v>
      </c>
    </row>
    <row r="87" spans="1:7" ht="13.15">
      <c r="A87" s="112"/>
      <c r="B87" s="59" t="str">
        <f>IF(Picks!B87="","",Picks!B87)</f>
        <v>Preston</v>
      </c>
      <c r="C87" s="578">
        <f>IF(Picks!C87="","",Picks!C87)</f>
        <v>6</v>
      </c>
      <c r="D87" s="44">
        <f>IF(Picks!D87="","",Picks!D87)</f>
        <v>1.5333333333333332</v>
      </c>
      <c r="E87" s="79" t="str">
        <f>IF(Picks!E87="","",Picks!E87)</f>
        <v>√</v>
      </c>
      <c r="F87" s="129" t="str">
        <f>IF(Picks!F87="","",Picks!F87)</f>
        <v/>
      </c>
      <c r="G87" s="44" t="str">
        <f>IF(Picks!G87="","",Picks!G87)</f>
        <v/>
      </c>
    </row>
    <row r="88" spans="1:7" ht="13.5" thickBot="1">
      <c r="A88" s="130"/>
      <c r="B88" s="125" t="str">
        <f>IF(Picks!B88="","",Picks!B88)</f>
        <v>MK Dons</v>
      </c>
      <c r="C88" s="579">
        <f>IF(Picks!C88="","",Picks!C88)</f>
        <v>6</v>
      </c>
      <c r="D88" s="126">
        <f>IF(Picks!D88="","",Picks!D88)</f>
        <v>1.9090909090909092</v>
      </c>
      <c r="E88" s="79" t="str">
        <f>IF(Picks!E88="","",Picks!E88)</f>
        <v>√</v>
      </c>
      <c r="F88" s="129" t="str">
        <f>IF(Picks!F88="","",Picks!F88)</f>
        <v/>
      </c>
      <c r="G88" s="44" t="str">
        <f>IF(Picks!G88="","",Picks!G88)</f>
        <v/>
      </c>
    </row>
    <row r="89" spans="1:7" ht="13.9" thickTop="1" thickBot="1">
      <c r="A89" s="112" t="str">
        <f>IF(Picks!A89="","",Picks!A89)</f>
        <v>Lennie Bow</v>
      </c>
      <c r="B89" s="107" t="str">
        <f>IF(Picks!B89="","",Picks!B89)</f>
        <v>Norwich</v>
      </c>
      <c r="C89" s="578">
        <f>IF(Picks!C89="","",Picks!C89)</f>
        <v>6</v>
      </c>
      <c r="D89" s="108">
        <f>IF(Picks!D89="","",Picks!D89)</f>
        <v>1.5</v>
      </c>
      <c r="E89" s="109" t="str">
        <f>IF(Picks!E89="","",Picks!E89)</f>
        <v>√</v>
      </c>
      <c r="F89" s="110">
        <f>IF(Picks!F89="","",Picks!F89)</f>
        <v>-5.5</v>
      </c>
      <c r="G89" s="111">
        <f>IF(Picks!G89="","",Picks!G89)</f>
        <v>6.4761904761904745</v>
      </c>
    </row>
    <row r="90" spans="1:7" ht="13.15">
      <c r="A90" s="112"/>
      <c r="B90" s="59" t="str">
        <f>IF(Picks!B90="","",Picks!B90)</f>
        <v>Barnsley</v>
      </c>
      <c r="C90" s="578">
        <f>IF(Picks!C90="","",Picks!C90)</f>
        <v>6</v>
      </c>
      <c r="D90" s="44">
        <f>IF(Picks!D90="","",Picks!D90)</f>
        <v>1.5333333333333332</v>
      </c>
      <c r="E90" s="79" t="str">
        <f>IF(Picks!E90="","",Picks!E90)</f>
        <v>x</v>
      </c>
      <c r="F90" s="129" t="str">
        <f>IF(Picks!F90="","",Picks!F90)</f>
        <v/>
      </c>
      <c r="G90" s="44" t="str">
        <f>IF(Picks!G90="","",Picks!G90)</f>
        <v/>
      </c>
    </row>
    <row r="91" spans="1:7" ht="13.5" thickBot="1">
      <c r="A91" s="130"/>
      <c r="B91" s="125" t="str">
        <f>IF(Picks!B91="","",Picks!B91)</f>
        <v>Peterborough</v>
      </c>
      <c r="C91" s="579">
        <f>IF(Picks!C91="","",Picks!C91)</f>
        <v>6</v>
      </c>
      <c r="D91" s="126">
        <f>IF(Picks!D91="","",Picks!D91)</f>
        <v>1.2857142857142856</v>
      </c>
      <c r="E91" s="79" t="str">
        <f>IF(Picks!E91="","",Picks!E91)</f>
        <v>x</v>
      </c>
      <c r="F91" s="129" t="str">
        <f>IF(Picks!F91="","",Picks!F91)</f>
        <v/>
      </c>
      <c r="G91" s="44" t="str">
        <f>IF(Picks!G91="","",Picks!G91)</f>
        <v/>
      </c>
    </row>
    <row r="92" spans="1:7" ht="13.9" thickTop="1" thickBot="1">
      <c r="A92" s="112" t="str">
        <f>IF(Picks!A92="","",Picks!A92)</f>
        <v>Mark Bunn</v>
      </c>
      <c r="B92" s="107" t="str">
        <f>IF(Picks!B92="","",Picks!B92)</f>
        <v>Cardiff</v>
      </c>
      <c r="C92" s="578">
        <f>IF(Picks!C92="","",Picks!C92)</f>
        <v>6</v>
      </c>
      <c r="D92" s="108">
        <f>IF(Picks!D92="","",Picks!D92)</f>
        <v>2.6</v>
      </c>
      <c r="E92" s="109" t="str">
        <f>IF(Picks!E92="","",Picks!E92)</f>
        <v>x</v>
      </c>
      <c r="F92" s="110">
        <f>IF(Picks!F92="","",Picks!F92)</f>
        <v>-4.625</v>
      </c>
      <c r="G92" s="111">
        <f>IF(Picks!G92="","",Picks!G92)</f>
        <v>46.675000000000004</v>
      </c>
    </row>
    <row r="93" spans="1:7" ht="13.15">
      <c r="A93" s="112"/>
      <c r="B93" s="59" t="str">
        <f>IF(Picks!B93="","",Picks!B93)</f>
        <v>Coventry</v>
      </c>
      <c r="C93" s="578">
        <f>IF(Picks!C93="","",Picks!C93)</f>
        <v>6</v>
      </c>
      <c r="D93" s="44">
        <f>IF(Picks!D93="","",Picks!D93)</f>
        <v>2.375</v>
      </c>
      <c r="E93" s="79" t="str">
        <f>IF(Picks!E93="","",Picks!E93)</f>
        <v>√</v>
      </c>
      <c r="F93" s="129" t="str">
        <f>IF(Picks!F93="","",Picks!F93)</f>
        <v/>
      </c>
      <c r="G93" s="44" t="str">
        <f>IF(Picks!G93="","",Picks!G93)</f>
        <v/>
      </c>
    </row>
    <row r="94" spans="1:7" ht="13.5" thickBot="1">
      <c r="A94" s="130"/>
      <c r="B94" s="125" t="str">
        <f>IF(Picks!B94="","",Picks!B94)</f>
        <v>Newport</v>
      </c>
      <c r="C94" s="579">
        <f>IF(Picks!C94="","",Picks!C94)</f>
        <v>6</v>
      </c>
      <c r="D94" s="126">
        <f>IF(Picks!D94="","",Picks!D94)</f>
        <v>3.5</v>
      </c>
      <c r="E94" s="79" t="str">
        <f>IF(Picks!E94="","",Picks!E94)</f>
        <v>x</v>
      </c>
      <c r="F94" s="129" t="str">
        <f>IF(Picks!F94="","",Picks!F94)</f>
        <v/>
      </c>
      <c r="G94" s="44" t="str">
        <f>IF(Picks!G94="","",Picks!G94)</f>
        <v/>
      </c>
    </row>
    <row r="95" spans="1:7" ht="13.9" thickTop="1" thickBot="1">
      <c r="A95" s="112" t="str">
        <f>IF(Picks!A95="","",Picks!A95)</f>
        <v>Mark Saunders</v>
      </c>
      <c r="B95" s="107" t="str">
        <f>IF(Picks!B95="","",Picks!B95)</f>
        <v>Wrexham</v>
      </c>
      <c r="C95" s="578">
        <f>IF(Picks!C95="","",Picks!C95)</f>
        <v>6</v>
      </c>
      <c r="D95" s="108">
        <f>IF(Picks!D95="","",Picks!D95)</f>
        <v>2.2999999999999998</v>
      </c>
      <c r="E95" s="109" t="str">
        <f>IF(Picks!E95="","",Picks!E95)</f>
        <v>√</v>
      </c>
      <c r="F95" s="110">
        <f>IF(Picks!F95="","",Picks!F95)</f>
        <v>-4.7</v>
      </c>
      <c r="G95" s="111">
        <f>IF(Picks!G95="","",Picks!G95)</f>
        <v>31.270000000000003</v>
      </c>
    </row>
    <row r="96" spans="1:7" ht="13.15">
      <c r="A96" s="112"/>
      <c r="B96" s="59" t="str">
        <f>IF(Picks!B96="","",Picks!B96)</f>
        <v>Everton</v>
      </c>
      <c r="C96" s="578">
        <f>IF(Picks!C96="","",Picks!C96)</f>
        <v>7</v>
      </c>
      <c r="D96" s="44">
        <f>IF(Picks!D96="","",Picks!D96)</f>
        <v>3.2</v>
      </c>
      <c r="E96" s="79" t="str">
        <f>IF(Picks!E96="","",Picks!E96)</f>
        <v>x</v>
      </c>
      <c r="F96" s="129" t="str">
        <f>IF(Picks!F96="","",Picks!F96)</f>
        <v/>
      </c>
      <c r="G96" s="44" t="str">
        <f>IF(Picks!G96="","",Picks!G96)</f>
        <v/>
      </c>
    </row>
    <row r="97" spans="1:7" ht="13.5" thickBot="1">
      <c r="A97" s="130"/>
      <c r="B97" s="125" t="str">
        <f>IF(Picks!B97="","",Picks!B97)</f>
        <v>Man C</v>
      </c>
      <c r="C97" s="579">
        <f>IF(Picks!C97="","",Picks!C97)</f>
        <v>1</v>
      </c>
      <c r="D97" s="126">
        <f>IF(Picks!D97="","",Picks!D97)</f>
        <v>1.8333333333333335</v>
      </c>
      <c r="E97" s="79" t="str">
        <f>IF(Picks!E97="","",Picks!E97)</f>
        <v>x</v>
      </c>
      <c r="F97" s="129" t="str">
        <f>IF(Picks!F97="","",Picks!F97)</f>
        <v/>
      </c>
      <c r="G97" s="44" t="str">
        <f>IF(Picks!G97="","",Picks!G97)</f>
        <v/>
      </c>
    </row>
    <row r="98" spans="1:7" ht="13.9" thickTop="1" thickBot="1">
      <c r="A98" s="112" t="str">
        <f>IF(Picks!A98="","",Picks!A98)</f>
        <v>Martin Molyneux</v>
      </c>
      <c r="B98" s="107" t="str">
        <f>IF(Picks!B98="","",Picks!B98)</f>
        <v>Barrow</v>
      </c>
      <c r="C98" s="578">
        <f>IF(Picks!C98="","",Picks!C98)</f>
        <v>6</v>
      </c>
      <c r="D98" s="108">
        <f>IF(Picks!D98="","",Picks!D98)</f>
        <v>1.95</v>
      </c>
      <c r="E98" s="109" t="str">
        <f>IF(Picks!E98="","",Picks!E98)</f>
        <v>√</v>
      </c>
      <c r="F98" s="110">
        <f>IF(Picks!F98="","",Picks!F98)</f>
        <v>10.683333333333334</v>
      </c>
      <c r="G98" s="111">
        <f>IF(Picks!G98="","",Picks!G98)</f>
        <v>10.683333333333334</v>
      </c>
    </row>
    <row r="99" spans="1:7" ht="13.15">
      <c r="A99" s="112"/>
      <c r="B99" s="59" t="str">
        <f>IF(Picks!B99="","",Picks!B99)</f>
        <v>Spurs</v>
      </c>
      <c r="C99" s="578">
        <f>IF(Picks!C99="","",Picks!C99)</f>
        <v>7</v>
      </c>
      <c r="D99" s="44">
        <f>IF(Picks!D99="","",Picks!D99)</f>
        <v>1.2222222222222223</v>
      </c>
      <c r="E99" s="79" t="str">
        <f>IF(Picks!E99="","",Picks!E99)</f>
        <v>√</v>
      </c>
      <c r="F99" s="129" t="str">
        <f>IF(Picks!F99="","",Picks!F99)</f>
        <v/>
      </c>
      <c r="G99" s="44" t="str">
        <f>IF(Picks!G99="","",Picks!G99)</f>
        <v/>
      </c>
    </row>
    <row r="100" spans="1:7" ht="13.5" thickBot="1">
      <c r="A100" s="130"/>
      <c r="B100" s="125" t="str">
        <f>IF(Picks!B100="","",Picks!B100)</f>
        <v>Newcastle</v>
      </c>
      <c r="C100" s="579">
        <f>IF(Picks!C100="","",Picks!C100)</f>
        <v>7</v>
      </c>
      <c r="D100" s="126">
        <f>IF(Picks!D100="","",Picks!D100)</f>
        <v>1.85</v>
      </c>
      <c r="E100" s="79" t="str">
        <f>IF(Picks!E100="","",Picks!E100)</f>
        <v>√</v>
      </c>
      <c r="F100" s="129" t="str">
        <f>IF(Picks!F100="","",Picks!F100)</f>
        <v/>
      </c>
      <c r="G100" s="44" t="str">
        <f>IF(Picks!G100="","",Picks!G100)</f>
        <v/>
      </c>
    </row>
    <row r="101" spans="1:7" ht="13.9" thickTop="1" thickBot="1">
      <c r="A101" s="112" t="str">
        <f>IF(Picks!A101="","",Picks!A101)</f>
        <v>Martin Tarbuck</v>
      </c>
      <c r="B101" s="107" t="str">
        <f>IF(Picks!B101="","",Picks!B101)</f>
        <v>Preston</v>
      </c>
      <c r="C101" s="578">
        <f>IF(Picks!C101="","",Picks!C101)</f>
        <v>6</v>
      </c>
      <c r="D101" s="108">
        <f>IF(Picks!D101="","",Picks!D101)</f>
        <v>1.5333333333333332</v>
      </c>
      <c r="E101" s="109" t="str">
        <f>IF(Picks!E101="","",Picks!E101)</f>
        <v>√</v>
      </c>
      <c r="F101" s="110">
        <f>IF(Picks!F101="","",Picks!F101)</f>
        <v>12.139999999999997</v>
      </c>
      <c r="G101" s="111">
        <f>IF(Picks!G101="","",Picks!G101)</f>
        <v>12.139999999999997</v>
      </c>
    </row>
    <row r="102" spans="1:7" ht="13.15">
      <c r="A102" s="112"/>
      <c r="B102" s="59" t="str">
        <f>IF(Picks!B102="","",Picks!B102)</f>
        <v>Stockport</v>
      </c>
      <c r="C102" s="578">
        <f>IF(Picks!C102="","",Picks!C102)</f>
        <v>6</v>
      </c>
      <c r="D102" s="44">
        <f>IF(Picks!D102="","",Picks!D102)</f>
        <v>1.65</v>
      </c>
      <c r="E102" s="79" t="str">
        <f>IF(Picks!E102="","",Picks!E102)</f>
        <v>√</v>
      </c>
      <c r="F102" s="129" t="str">
        <f>IF(Picks!F102="","",Picks!F102)</f>
        <v/>
      </c>
      <c r="G102" s="44" t="str">
        <f>IF(Picks!G102="","",Picks!G102)</f>
        <v/>
      </c>
    </row>
    <row r="103" spans="1:7" ht="13.5" thickBot="1">
      <c r="A103" s="130"/>
      <c r="B103" s="125" t="str">
        <f>IF(Picks!B103="","",Picks!B103)</f>
        <v>Lincoln</v>
      </c>
      <c r="C103" s="579">
        <f>IF(Picks!C103="","",Picks!C103)</f>
        <v>6</v>
      </c>
      <c r="D103" s="126">
        <f>IF(Picks!D103="","",Picks!D103)</f>
        <v>2</v>
      </c>
      <c r="E103" s="79" t="str">
        <f>IF(Picks!E103="","",Picks!E103)</f>
        <v>√</v>
      </c>
      <c r="F103" s="129" t="str">
        <f>IF(Picks!F103="","",Picks!F103)</f>
        <v/>
      </c>
      <c r="G103" s="44" t="str">
        <f>IF(Picks!G103="","",Picks!G103)</f>
        <v/>
      </c>
    </row>
    <row r="104" spans="1:7" ht="13.9" thickTop="1" thickBot="1">
      <c r="A104" s="112" t="str">
        <f>IF(Picks!A104="","",Picks!A104)</f>
        <v>Mike Penk</v>
      </c>
      <c r="B104" s="107" t="str">
        <f>IF(Picks!B104="","",Picks!B104)</f>
        <v>Coventry</v>
      </c>
      <c r="C104" s="578">
        <f>IF(Picks!C104="","",Picks!C104)</f>
        <v>6</v>
      </c>
      <c r="D104" s="108">
        <f>IF(Picks!D104="","",Picks!D104)</f>
        <v>2.375</v>
      </c>
      <c r="E104" s="109" t="str">
        <f>IF(Picks!E104="","",Picks!E104)</f>
        <v>√</v>
      </c>
      <c r="F104" s="110">
        <f>IF(Picks!F104="","",Picks!F104)</f>
        <v>2.125</v>
      </c>
      <c r="G104" s="111">
        <f>IF(Picks!G104="","",Picks!G104)</f>
        <v>23.387500000000003</v>
      </c>
    </row>
    <row r="105" spans="1:7" ht="13.15">
      <c r="A105" s="112"/>
      <c r="B105" s="59" t="str">
        <f>IF(Picks!B105="","",Picks!B105)</f>
        <v>Accrington</v>
      </c>
      <c r="C105" s="578">
        <f>IF(Picks!C105="","",Picks!C105)</f>
        <v>6</v>
      </c>
      <c r="D105" s="44">
        <f>IF(Picks!D105="","",Picks!D105)</f>
        <v>2.1</v>
      </c>
      <c r="E105" s="79" t="str">
        <f>IF(Picks!E105="","",Picks!E105)</f>
        <v>x</v>
      </c>
      <c r="F105" s="129" t="str">
        <f>IF(Picks!F105="","",Picks!F105)</f>
        <v/>
      </c>
      <c r="G105" s="44" t="str">
        <f>IF(Picks!G105="","",Picks!G105)</f>
        <v/>
      </c>
    </row>
    <row r="106" spans="1:7" ht="13.5" thickBot="1">
      <c r="A106" s="130"/>
      <c r="B106" s="125" t="str">
        <f>IF(Picks!B106="","",Picks!B106)</f>
        <v>Bradford</v>
      </c>
      <c r="C106" s="579">
        <f>IF(Picks!C106="","",Picks!C106)</f>
        <v>6</v>
      </c>
      <c r="D106" s="126">
        <f>IF(Picks!D106="","",Picks!D106)</f>
        <v>2</v>
      </c>
      <c r="E106" s="79" t="str">
        <f>IF(Picks!E106="","",Picks!E106)</f>
        <v>√</v>
      </c>
      <c r="F106" s="129" t="str">
        <f>IF(Picks!F106="","",Picks!F106)</f>
        <v/>
      </c>
      <c r="G106" s="44" t="str">
        <f>IF(Picks!G106="","",Picks!G106)</f>
        <v/>
      </c>
    </row>
    <row r="107" spans="1:7" ht="13.9" thickTop="1" thickBot="1">
      <c r="A107" s="112" t="str">
        <f>IF(Picks!A107="","",Picks!A107)</f>
        <v>Mo Sudell</v>
      </c>
      <c r="B107" s="107" t="str">
        <f>IF(Picks!B107="","",Picks!B107)</f>
        <v>Preston</v>
      </c>
      <c r="C107" s="578">
        <f>IF(Picks!C107="","",Picks!C107)</f>
        <v>6</v>
      </c>
      <c r="D107" s="108">
        <f>IF(Picks!D107="","",Picks!D107)</f>
        <v>1.5333333333333332</v>
      </c>
      <c r="E107" s="109" t="str">
        <f>IF(Picks!E107="","",Picks!E107)</f>
        <v>√</v>
      </c>
      <c r="F107" s="110">
        <f>IF(Picks!F107="","",Picks!F107)</f>
        <v>-5.4666666666666668</v>
      </c>
      <c r="G107" s="111">
        <f>IF(Picks!G107="","",Picks!G107)</f>
        <v>10.932444444444442</v>
      </c>
    </row>
    <row r="108" spans="1:7" ht="13.15">
      <c r="A108" s="112"/>
      <c r="B108" s="59" t="str">
        <f>IF(Picks!B108="","",Picks!B108)</f>
        <v>Barnsley</v>
      </c>
      <c r="C108" s="578">
        <f>IF(Picks!C108="","",Picks!C108)</f>
        <v>6</v>
      </c>
      <c r="D108" s="44">
        <f>IF(Picks!D108="","",Picks!D108)</f>
        <v>1.5333333333333332</v>
      </c>
      <c r="E108" s="79" t="str">
        <f>IF(Picks!E108="","",Picks!E108)</f>
        <v>x</v>
      </c>
      <c r="F108" s="129" t="str">
        <f>IF(Picks!F108="","",Picks!F108)</f>
        <v/>
      </c>
      <c r="G108" s="44" t="str">
        <f>IF(Picks!G108="","",Picks!G108)</f>
        <v/>
      </c>
    </row>
    <row r="109" spans="1:7" ht="13.5" thickBot="1">
      <c r="A109" s="130"/>
      <c r="B109" s="125" t="str">
        <f>IF(Picks!B109="","",Picks!B109)</f>
        <v>Wigan</v>
      </c>
      <c r="C109" s="579">
        <f>IF(Picks!C109="","",Picks!C109)</f>
        <v>6</v>
      </c>
      <c r="D109" s="126">
        <f>IF(Picks!D109="","",Picks!D109)</f>
        <v>1.95</v>
      </c>
      <c r="E109" s="79" t="str">
        <f>IF(Picks!E109="","",Picks!E109)</f>
        <v>x</v>
      </c>
      <c r="F109" s="129" t="str">
        <f>IF(Picks!F109="","",Picks!F109)</f>
        <v/>
      </c>
      <c r="G109" s="44" t="str">
        <f>IF(Picks!G109="","",Picks!G109)</f>
        <v/>
      </c>
    </row>
    <row r="110" spans="1:7" ht="13.9" thickTop="1" thickBot="1">
      <c r="A110" s="112" t="str">
        <f>IF(Picks!A110="","",Picks!A110)</f>
        <v>Nick Blocksidge</v>
      </c>
      <c r="B110" s="107" t="str">
        <f>IF(Picks!B110="","",Picks!B110)</f>
        <v/>
      </c>
      <c r="C110" s="578" t="str">
        <f>IF(Picks!C110="","",Picks!C110)</f>
        <v/>
      </c>
      <c r="D110" s="108" t="str">
        <f>IF(Picks!D110="","",Picks!D110)</f>
        <v/>
      </c>
      <c r="E110" s="109" t="str">
        <f>IF(Picks!E110="","",Picks!E110)</f>
        <v/>
      </c>
      <c r="F110" s="110">
        <f>IF(Picks!F110="","",Picks!F110)</f>
        <v>-10</v>
      </c>
      <c r="G110" s="111" t="str">
        <f>IF(Picks!G110="","",Picks!G110)</f>
        <v/>
      </c>
    </row>
    <row r="111" spans="1:7" ht="13.15">
      <c r="A111" s="112"/>
      <c r="B111" s="59" t="str">
        <f>IF(Picks!B111="","",Picks!B111)</f>
        <v/>
      </c>
      <c r="C111" s="578" t="str">
        <f>IF(Picks!C111="","",Picks!C111)</f>
        <v/>
      </c>
      <c r="D111" s="44" t="str">
        <f>IF(Picks!D111="","",Picks!D111)</f>
        <v/>
      </c>
      <c r="E111" s="79" t="str">
        <f>IF(Picks!E111="","",Picks!E111)</f>
        <v/>
      </c>
      <c r="F111" s="129" t="str">
        <f>IF(Picks!F111="","",Picks!F111)</f>
        <v/>
      </c>
      <c r="G111" s="44" t="str">
        <f>IF(Picks!G111="","",Picks!G111)</f>
        <v/>
      </c>
    </row>
    <row r="112" spans="1:7" ht="13.5" thickBot="1">
      <c r="A112" s="130"/>
      <c r="B112" s="125" t="str">
        <f>IF(Picks!B112="","",Picks!B112)</f>
        <v/>
      </c>
      <c r="C112" s="579" t="str">
        <f>IF(Picks!C112="","",Picks!C112)</f>
        <v/>
      </c>
      <c r="D112" s="126" t="str">
        <f>IF(Picks!D112="","",Picks!D112)</f>
        <v/>
      </c>
      <c r="E112" s="79" t="str">
        <f>IF(Picks!E112="","",Picks!E112)</f>
        <v/>
      </c>
      <c r="F112" s="129" t="str">
        <f>IF(Picks!F112="","",Picks!F112)</f>
        <v/>
      </c>
      <c r="G112" s="44" t="str">
        <f>IF(Picks!G112="","",Picks!G112)</f>
        <v/>
      </c>
    </row>
    <row r="113" spans="1:7" ht="13.9" thickTop="1" thickBot="1">
      <c r="A113" s="112" t="str">
        <f>IF(Picks!A113="","",Picks!A113)</f>
        <v>Nigel Heyes</v>
      </c>
      <c r="B113" s="107" t="str">
        <f>IF(Picks!B113="","",Picks!B113)</f>
        <v>Cardiff</v>
      </c>
      <c r="C113" s="578">
        <f>IF(Picks!C113="","",Picks!C113)</f>
        <v>6</v>
      </c>
      <c r="D113" s="108">
        <f>IF(Picks!D113="","",Picks!D113)</f>
        <v>2.6</v>
      </c>
      <c r="E113" s="109" t="str">
        <f>IF(Picks!E113="","",Picks!E113)</f>
        <v>x</v>
      </c>
      <c r="F113" s="110">
        <f>IF(Picks!F113="","",Picks!F113)</f>
        <v>-5.05</v>
      </c>
      <c r="G113" s="111">
        <f>IF(Picks!G113="","",Picks!G113)</f>
        <v>23.329000000000004</v>
      </c>
    </row>
    <row r="114" spans="1:7" ht="13.15">
      <c r="A114" s="112"/>
      <c r="B114" s="59" t="str">
        <f>IF(Picks!B114="","",Picks!B114)</f>
        <v>Wigan</v>
      </c>
      <c r="C114" s="578">
        <f>IF(Picks!C114="","",Picks!C114)</f>
        <v>6</v>
      </c>
      <c r="D114" s="44">
        <f>IF(Picks!D114="","",Picks!D114)</f>
        <v>1.95</v>
      </c>
      <c r="E114" s="79" t="str">
        <f>IF(Picks!E114="","",Picks!E114)</f>
        <v>x</v>
      </c>
      <c r="F114" s="129" t="str">
        <f>IF(Picks!F114="","",Picks!F114)</f>
        <v/>
      </c>
      <c r="G114" s="44" t="str">
        <f>IF(Picks!G114="","",Picks!G114)</f>
        <v/>
      </c>
    </row>
    <row r="115" spans="1:7" ht="13.5" thickBot="1">
      <c r="A115" s="130"/>
      <c r="B115" s="59" t="str">
        <f>IF(Picks!B115="","",Picks!B115)</f>
        <v>Barrow</v>
      </c>
      <c r="C115" s="579">
        <f>IF(Picks!C115="","",Picks!C115)</f>
        <v>6</v>
      </c>
      <c r="D115" s="126">
        <f>IF(Picks!D115="","",Picks!D115)</f>
        <v>1.95</v>
      </c>
      <c r="E115" s="79" t="str">
        <f>IF(Picks!E115="","",Picks!E115)</f>
        <v>√</v>
      </c>
      <c r="F115" s="129" t="str">
        <f>IF(Picks!F115="","",Picks!F115)</f>
        <v/>
      </c>
      <c r="G115" s="44" t="str">
        <f>IF(Picks!G115="","",Picks!G115)</f>
        <v/>
      </c>
    </row>
    <row r="116" spans="1:7" ht="13.9" thickTop="1" thickBot="1">
      <c r="A116" s="112" t="str">
        <f>IF(Picks!A116="","",Picks!A116)</f>
        <v>Paul Adderley</v>
      </c>
      <c r="B116" s="107" t="str">
        <f>IF(Picks!B116="","",Picks!B116)</f>
        <v/>
      </c>
      <c r="C116" s="578" t="str">
        <f>IF(Picks!C116="","",Picks!C116)</f>
        <v/>
      </c>
      <c r="D116" s="108" t="str">
        <f>IF(Picks!D116="","",Picks!D116)</f>
        <v/>
      </c>
      <c r="E116" s="109" t="str">
        <f>IF(Picks!E116="","",Picks!E116)</f>
        <v/>
      </c>
      <c r="F116" s="110">
        <f>IF(Picks!F116="","",Picks!F116)</f>
        <v>-10</v>
      </c>
      <c r="G116" s="111" t="str">
        <f>IF(Picks!G116="","",Picks!G116)</f>
        <v/>
      </c>
    </row>
    <row r="117" spans="1:7" ht="13.15">
      <c r="A117" s="112"/>
      <c r="B117" s="59" t="str">
        <f>IF(Picks!B117="","",Picks!B117)</f>
        <v/>
      </c>
      <c r="C117" s="578" t="str">
        <f>IF(Picks!C117="","",Picks!C117)</f>
        <v/>
      </c>
      <c r="D117" s="44" t="str">
        <f>IF(Picks!D117="","",Picks!D117)</f>
        <v/>
      </c>
      <c r="E117" s="79" t="str">
        <f>IF(Picks!E117="","",Picks!E117)</f>
        <v/>
      </c>
      <c r="F117" s="129" t="str">
        <f>IF(Picks!F117="","",Picks!F117)</f>
        <v/>
      </c>
      <c r="G117" s="44" t="str">
        <f>IF(Picks!G117="","",Picks!G117)</f>
        <v/>
      </c>
    </row>
    <row r="118" spans="1:7" ht="13.5" thickBot="1">
      <c r="A118" s="130"/>
      <c r="B118" s="125" t="str">
        <f>IF(Picks!B118="","",Picks!B118)</f>
        <v/>
      </c>
      <c r="C118" s="579" t="str">
        <f>IF(Picks!C118="","",Picks!C118)</f>
        <v/>
      </c>
      <c r="D118" s="126" t="str">
        <f>IF(Picks!D118="","",Picks!D118)</f>
        <v/>
      </c>
      <c r="E118" s="79" t="str">
        <f>IF(Picks!E118="","",Picks!E118)</f>
        <v/>
      </c>
      <c r="F118" s="129" t="str">
        <f>IF(Picks!F118="","",Picks!F118)</f>
        <v/>
      </c>
      <c r="G118" s="44" t="str">
        <f>IF(Picks!G118="","",Picks!G118)</f>
        <v/>
      </c>
    </row>
    <row r="119" spans="1:7" ht="13.9" thickTop="1" thickBot="1">
      <c r="A119" s="112" t="str">
        <f>IF(Picks!A119="","",Picks!A119)</f>
        <v>Paul Allen</v>
      </c>
      <c r="B119" s="107" t="str">
        <f>IF(Picks!B119="","",Picks!B119)</f>
        <v>Blackburn</v>
      </c>
      <c r="C119" s="578">
        <f>IF(Picks!C119="","",Picks!C119)</f>
        <v>6</v>
      </c>
      <c r="D119" s="108">
        <f>IF(Picks!D119="","",Picks!D119)</f>
        <v>3.8</v>
      </c>
      <c r="E119" s="109" t="str">
        <f>IF(Picks!E119="","",Picks!E119)</f>
        <v>x</v>
      </c>
      <c r="F119" s="110">
        <f>IF(Picks!F119="","",Picks!F119)</f>
        <v>-7</v>
      </c>
      <c r="G119" s="111">
        <f>IF(Picks!G119="","",Picks!G119)</f>
        <v>27.150769230769228</v>
      </c>
    </row>
    <row r="120" spans="1:7" ht="13.15">
      <c r="A120" s="112"/>
      <c r="B120" s="59" t="str">
        <f>IF(Picks!B120="","",Picks!B120)</f>
        <v>Leicester</v>
      </c>
      <c r="C120" s="578">
        <f>IF(Picks!C120="","",Picks!C120)</f>
        <v>6</v>
      </c>
      <c r="D120" s="44">
        <f>IF(Picks!D120="","",Picks!D120)</f>
        <v>1.8</v>
      </c>
      <c r="E120" s="79" t="str">
        <f>IF(Picks!E120="","",Picks!E120)</f>
        <v>x</v>
      </c>
      <c r="F120" s="129" t="str">
        <f>IF(Picks!F120="","",Picks!F120)</f>
        <v/>
      </c>
      <c r="G120" s="44" t="str">
        <f>IF(Picks!G120="","",Picks!G120)</f>
        <v/>
      </c>
    </row>
    <row r="121" spans="1:7" ht="13.5" thickBot="1">
      <c r="A121" s="130"/>
      <c r="B121" s="125" t="str">
        <f>IF(Picks!B121="","",Picks!B121)</f>
        <v>Leeds</v>
      </c>
      <c r="C121" s="579">
        <f>IF(Picks!C121="","",Picks!C121)</f>
        <v>6</v>
      </c>
      <c r="D121" s="126">
        <f>IF(Picks!D121="","",Picks!D121)</f>
        <v>1.6153846153846154</v>
      </c>
      <c r="E121" s="79" t="str">
        <f>IF(Picks!E121="","",Picks!E121)</f>
        <v>x</v>
      </c>
      <c r="F121" s="129" t="str">
        <f>IF(Picks!F121="","",Picks!F121)</f>
        <v/>
      </c>
      <c r="G121" s="44" t="str">
        <f>IF(Picks!G121="","",Picks!G121)</f>
        <v/>
      </c>
    </row>
    <row r="122" spans="1:7" ht="13.9" thickTop="1" thickBot="1">
      <c r="A122" s="112" t="str">
        <f>IF(Picks!A122="","",Picks!A122)</f>
        <v>Paul Barnes</v>
      </c>
      <c r="B122" s="107" t="str">
        <f>IF(Picks!B122="","",Picks!B122)</f>
        <v>Man U</v>
      </c>
      <c r="C122" s="578">
        <f>IF(Picks!C122="","",Picks!C122)</f>
        <v>7</v>
      </c>
      <c r="D122" s="108">
        <f>IF(Picks!D122="","",Picks!D122)</f>
        <v>2.2000000000000002</v>
      </c>
      <c r="E122" s="109" t="str">
        <f>IF(Picks!E122="","",Picks!E122)</f>
        <v>x</v>
      </c>
      <c r="F122" s="110">
        <f>IF(Picks!F122="","",Picks!F122)</f>
        <v>7.5</v>
      </c>
      <c r="G122" s="111">
        <f>IF(Picks!G122="","",Picks!G122)</f>
        <v>41.600000000000009</v>
      </c>
    </row>
    <row r="123" spans="1:7" ht="13.15">
      <c r="A123" s="112"/>
      <c r="B123" s="59" t="str">
        <f>IF(Picks!B123="","",Picks!B123)</f>
        <v>Man C draw</v>
      </c>
      <c r="C123" s="578">
        <f>IF(Picks!C123="","",Picks!C123)</f>
        <v>1</v>
      </c>
      <c r="D123" s="44">
        <f>IF(Picks!D123="","",Picks!D123)</f>
        <v>4</v>
      </c>
      <c r="E123" s="79" t="str">
        <f>IF(Picks!E123="","",Picks!E123)</f>
        <v>√</v>
      </c>
      <c r="F123" s="129" t="str">
        <f>IF(Picks!F123="","",Picks!F123)</f>
        <v/>
      </c>
      <c r="G123" s="44" t="str">
        <f>IF(Picks!G123="","",Picks!G123)</f>
        <v/>
      </c>
    </row>
    <row r="124" spans="1:7" ht="13.5" thickBot="1">
      <c r="A124" s="130"/>
      <c r="B124" s="125" t="str">
        <f>IF(Picks!B124="","",Picks!B124)</f>
        <v>Bournemouth</v>
      </c>
      <c r="C124" s="579">
        <f>IF(Picks!C124="","",Picks!C124)</f>
        <v>7</v>
      </c>
      <c r="D124" s="126">
        <f>IF(Picks!D124="","",Picks!D124)</f>
        <v>2.1</v>
      </c>
      <c r="E124" s="79" t="str">
        <f>IF(Picks!E124="","",Picks!E124)</f>
        <v>√</v>
      </c>
      <c r="F124" s="129" t="str">
        <f>IF(Picks!F124="","",Picks!F124)</f>
        <v/>
      </c>
      <c r="G124" s="44" t="str">
        <f>IF(Picks!G124="","",Picks!G124)</f>
        <v/>
      </c>
    </row>
    <row r="125" spans="1:7" ht="13.9" thickTop="1" thickBot="1">
      <c r="A125" s="112" t="str">
        <f>IF(Picks!A125="","",Picks!A125)</f>
        <v>Paul Fairhurst</v>
      </c>
      <c r="B125" s="107" t="str">
        <f>IF(Picks!B125="","",Picks!B125)</f>
        <v>Accrington draw</v>
      </c>
      <c r="C125" s="578">
        <f>IF(Picks!C125="","",Picks!C125)</f>
        <v>6</v>
      </c>
      <c r="D125" s="108">
        <f>IF(Picks!D125="","",Picks!D125)</f>
        <v>3.6</v>
      </c>
      <c r="E125" s="109" t="str">
        <f>IF(Picks!E125="","",Picks!E125)</f>
        <v>x</v>
      </c>
      <c r="F125" s="110">
        <f>IF(Picks!F125="","",Picks!F125)</f>
        <v>-7</v>
      </c>
      <c r="G125" s="111">
        <f>IF(Picks!G125="","",Picks!G125)</f>
        <v>237.33333333333337</v>
      </c>
    </row>
    <row r="126" spans="1:7" ht="13.15">
      <c r="A126" s="112"/>
      <c r="B126" s="59" t="str">
        <f>IF(Picks!B126="","",Picks!B126)</f>
        <v>Burnley</v>
      </c>
      <c r="C126" s="578">
        <f>IF(Picks!C126="","",Picks!C126)</f>
        <v>7</v>
      </c>
      <c r="D126" s="44">
        <f>IF(Picks!D126="","",Picks!D126)</f>
        <v>9</v>
      </c>
      <c r="E126" s="79" t="str">
        <f>IF(Picks!E126="","",Picks!E126)</f>
        <v>x</v>
      </c>
      <c r="F126" s="129" t="str">
        <f>IF(Picks!F126="","",Picks!F126)</f>
        <v/>
      </c>
      <c r="G126" s="44" t="str">
        <f>IF(Picks!G126="","",Picks!G126)</f>
        <v/>
      </c>
    </row>
    <row r="127" spans="1:7" ht="13.5" thickBot="1">
      <c r="A127" s="130"/>
      <c r="B127" s="125" t="str">
        <f>IF(Picks!B127="","",Picks!B127)</f>
        <v>Villa draw</v>
      </c>
      <c r="C127" s="579">
        <f>IF(Picks!C127="","",Picks!C127)</f>
        <v>7</v>
      </c>
      <c r="D127" s="126">
        <f>IF(Picks!D127="","",Picks!D127)</f>
        <v>4.3333333333333339</v>
      </c>
      <c r="E127" s="79" t="str">
        <f>IF(Picks!E127="","",Picks!E127)</f>
        <v>x</v>
      </c>
      <c r="F127" s="129" t="str">
        <f>IF(Picks!F127="","",Picks!F127)</f>
        <v/>
      </c>
      <c r="G127" s="44" t="str">
        <f>IF(Picks!G127="","",Picks!G127)</f>
        <v/>
      </c>
    </row>
    <row r="128" spans="1:7" ht="13.9" thickTop="1" thickBot="1">
      <c r="A128" s="112" t="str">
        <f>IF(Picks!A128="","",Picks!A128)</f>
        <v>Pete Baron</v>
      </c>
      <c r="B128" s="107" t="str">
        <f>IF(Picks!B128="","",Picks!B128)</f>
        <v>Villa draw</v>
      </c>
      <c r="C128" s="578">
        <f>IF(Picks!C128="","",Picks!C128)</f>
        <v>7</v>
      </c>
      <c r="D128" s="108">
        <f>IF(Picks!D128="","",Picks!D128)</f>
        <v>4.3333333333333339</v>
      </c>
      <c r="E128" s="109" t="str">
        <f>IF(Picks!E128="","",Picks!E128)</f>
        <v>x</v>
      </c>
      <c r="F128" s="110">
        <f>IF(Picks!F128="","",Picks!F128)</f>
        <v>14</v>
      </c>
      <c r="G128" s="111">
        <f>IF(Picks!G128="","",Picks!G128)</f>
        <v>109.33333333333334</v>
      </c>
    </row>
    <row r="129" spans="1:7" ht="13.15">
      <c r="A129" s="112"/>
      <c r="B129" s="59" t="str">
        <f>IF(Picks!B129="","",Picks!B129)</f>
        <v>Man C draw</v>
      </c>
      <c r="C129" s="578">
        <f>IF(Picks!C129="","",Picks!C129)</f>
        <v>1</v>
      </c>
      <c r="D129" s="44">
        <f>IF(Picks!D129="","",Picks!D129)</f>
        <v>4</v>
      </c>
      <c r="E129" s="79" t="str">
        <f>IF(Picks!E129="","",Picks!E129)</f>
        <v>√</v>
      </c>
      <c r="F129" s="129" t="str">
        <f>IF(Picks!F129="","",Picks!F129)</f>
        <v/>
      </c>
      <c r="G129" s="44" t="str">
        <f>IF(Picks!G129="","",Picks!G129)</f>
        <v/>
      </c>
    </row>
    <row r="130" spans="1:7" ht="13.5" thickBot="1">
      <c r="A130" s="130"/>
      <c r="B130" s="125" t="str">
        <f>IF(Picks!B130="","",Picks!B130)</f>
        <v>Forest draw</v>
      </c>
      <c r="C130" s="579">
        <f>IF(Picks!C130="","",Picks!C130)</f>
        <v>7</v>
      </c>
      <c r="D130" s="126">
        <f>IF(Picks!D130="","",Picks!D130)</f>
        <v>3.4</v>
      </c>
      <c r="E130" s="79" t="str">
        <f>IF(Picks!E130="","",Picks!E130)</f>
        <v>√</v>
      </c>
      <c r="F130" s="129" t="str">
        <f>IF(Picks!F130="","",Picks!F130)</f>
        <v/>
      </c>
      <c r="G130" s="44" t="str">
        <f>IF(Picks!G130="","",Picks!G130)</f>
        <v/>
      </c>
    </row>
    <row r="131" spans="1:7" ht="13.9" thickTop="1" thickBot="1">
      <c r="A131" s="112" t="str">
        <f>IF(Picks!A131="","",Picks!A131)</f>
        <v>Phil Miller</v>
      </c>
      <c r="B131" s="107" t="str">
        <f>IF(Picks!B131="","",Picks!B131)</f>
        <v>Norwich</v>
      </c>
      <c r="C131" s="578">
        <f>IF(Picks!C131="","",Picks!C131)</f>
        <v>6</v>
      </c>
      <c r="D131" s="108">
        <f>IF(Picks!D131="","",Picks!D131)</f>
        <v>1.5</v>
      </c>
      <c r="E131" s="109" t="str">
        <f>IF(Picks!E131="","",Picks!E131)</f>
        <v>√</v>
      </c>
      <c r="F131" s="110">
        <f>IF(Picks!F131="","",Picks!F131)</f>
        <v>-1.666666666666667</v>
      </c>
      <c r="G131" s="111">
        <f>IF(Picks!G131="","",Picks!G131)</f>
        <v>6.4761904761904745</v>
      </c>
    </row>
    <row r="132" spans="1:7" ht="13.15">
      <c r="A132" s="112"/>
      <c r="B132" s="59" t="str">
        <f>IF(Picks!B132="","",Picks!B132)</f>
        <v>Preston</v>
      </c>
      <c r="C132" s="578">
        <f>IF(Picks!C132="","",Picks!C132)</f>
        <v>6</v>
      </c>
      <c r="D132" s="44">
        <f>IF(Picks!D132="","",Picks!D132)</f>
        <v>1.5333333333333332</v>
      </c>
      <c r="E132" s="79" t="str">
        <f>IF(Picks!E132="","",Picks!E132)</f>
        <v>√</v>
      </c>
      <c r="F132" s="129" t="str">
        <f>IF(Picks!F132="","",Picks!F132)</f>
        <v/>
      </c>
      <c r="G132" s="44" t="str">
        <f>IF(Picks!G132="","",Picks!G132)</f>
        <v/>
      </c>
    </row>
    <row r="133" spans="1:7" ht="13.5" thickBot="1">
      <c r="A133" s="130"/>
      <c r="B133" s="125" t="str">
        <f>IF(Picks!B133="","",Picks!B133)</f>
        <v>Peterborough</v>
      </c>
      <c r="C133" s="579">
        <f>IF(Picks!C133="","",Picks!C133)</f>
        <v>6</v>
      </c>
      <c r="D133" s="126">
        <f>IF(Picks!D133="","",Picks!D133)</f>
        <v>1.2857142857142856</v>
      </c>
      <c r="E133" s="79" t="str">
        <f>IF(Picks!E133="","",Picks!E133)</f>
        <v>x</v>
      </c>
      <c r="F133" s="129" t="str">
        <f>IF(Picks!F133="","",Picks!F133)</f>
        <v/>
      </c>
      <c r="G133" s="44" t="str">
        <f>IF(Picks!G133="","",Picks!G133)</f>
        <v/>
      </c>
    </row>
    <row r="134" spans="1:7" ht="13.9" thickTop="1" thickBot="1">
      <c r="A134" s="112" t="str">
        <f>IF(Picks!A134="","",Picks!A134)</f>
        <v>Rob England</v>
      </c>
      <c r="B134" s="107" t="str">
        <f>IF(Picks!B134="","",Picks!B134)</f>
        <v>Reading</v>
      </c>
      <c r="C134" s="578">
        <f>IF(Picks!C134="","",Picks!C134)</f>
        <v>6</v>
      </c>
      <c r="D134" s="108">
        <f>IF(Picks!D134="","",Picks!D134)</f>
        <v>1.7</v>
      </c>
      <c r="E134" s="109" t="str">
        <f>IF(Picks!E134="","",Picks!E134)</f>
        <v>√</v>
      </c>
      <c r="F134" s="110">
        <f>IF(Picks!F134="","",Picks!F134)</f>
        <v>-0.84500000000000064</v>
      </c>
      <c r="G134" s="111">
        <f>IF(Picks!G134="","",Picks!G134)</f>
        <v>10.125999999999998</v>
      </c>
    </row>
    <row r="135" spans="1:7" ht="13.15">
      <c r="A135" s="112"/>
      <c r="B135" s="59" t="str">
        <f>IF(Picks!B135="","",Picks!B135)</f>
        <v>Barnsley</v>
      </c>
      <c r="C135" s="578">
        <f>IF(Picks!C135="","",Picks!C135)</f>
        <v>6</v>
      </c>
      <c r="D135" s="44">
        <f>IF(Picks!D135="","",Picks!D135)</f>
        <v>1.5333333333333332</v>
      </c>
      <c r="E135" s="79" t="str">
        <f>IF(Picks!E135="","",Picks!E135)</f>
        <v>x</v>
      </c>
      <c r="F135" s="129" t="str">
        <f>IF(Picks!F135="","",Picks!F135)</f>
        <v/>
      </c>
      <c r="G135" s="44" t="str">
        <f>IF(Picks!G135="","",Picks!G135)</f>
        <v/>
      </c>
    </row>
    <row r="136" spans="1:7" ht="13.5" thickBot="1">
      <c r="A136" s="130"/>
      <c r="B136" s="125" t="str">
        <f>IF(Picks!B136="","",Picks!B136)</f>
        <v>Villa</v>
      </c>
      <c r="C136" s="579">
        <f>IF(Picks!C136="","",Picks!C136)</f>
        <v>7</v>
      </c>
      <c r="D136" s="126">
        <f>IF(Picks!D136="","",Picks!D136)</f>
        <v>1.65</v>
      </c>
      <c r="E136" s="79" t="str">
        <f>IF(Picks!E136="","",Picks!E136)</f>
        <v>√</v>
      </c>
      <c r="F136" s="129" t="str">
        <f>IF(Picks!F136="","",Picks!F136)</f>
        <v/>
      </c>
      <c r="G136" s="44" t="str">
        <f>IF(Picks!G136="","",Picks!G136)</f>
        <v/>
      </c>
    </row>
    <row r="137" spans="1:7" ht="13.9" thickTop="1" thickBot="1">
      <c r="A137" s="112" t="str">
        <f>IF(Picks!A137="","",Picks!A137)</f>
        <v>Simon Greenhalgh</v>
      </c>
      <c r="B137" s="107" t="str">
        <f>IF(Picks!B137="","",Picks!B137)</f>
        <v>Forest draw</v>
      </c>
      <c r="C137" s="578">
        <f>IF(Picks!C137="","",Picks!C137)</f>
        <v>7</v>
      </c>
      <c r="D137" s="108">
        <f>IF(Picks!D137="","",Picks!D137)</f>
        <v>3.4</v>
      </c>
      <c r="E137" s="109" t="str">
        <f>IF(Picks!E137="","",Picks!E137)</f>
        <v>√</v>
      </c>
      <c r="F137" s="110">
        <f>IF(Picks!F137="","",Picks!F137)</f>
        <v>-3.6</v>
      </c>
      <c r="G137" s="111">
        <f>IF(Picks!G137="","",Picks!G137)</f>
        <v>109.33333333333334</v>
      </c>
    </row>
    <row r="138" spans="1:7" ht="13.15">
      <c r="A138" s="112"/>
      <c r="B138" s="59" t="str">
        <f>IF(Picks!B138="","",Picks!B138)</f>
        <v>Newcastle draw</v>
      </c>
      <c r="C138" s="578">
        <f>IF(Picks!C138="","",Picks!C138)</f>
        <v>7</v>
      </c>
      <c r="D138" s="44">
        <f>IF(Picks!D138="","",Picks!D138)</f>
        <v>4</v>
      </c>
      <c r="E138" s="79" t="str">
        <f>IF(Picks!E138="","",Picks!E138)</f>
        <v>x</v>
      </c>
      <c r="F138" s="129" t="str">
        <f>IF(Picks!F138="","",Picks!F138)</f>
        <v/>
      </c>
      <c r="G138" s="44" t="str">
        <f>IF(Picks!G138="","",Picks!G138)</f>
        <v/>
      </c>
    </row>
    <row r="139" spans="1:7" ht="13.5" thickBot="1">
      <c r="A139" s="130"/>
      <c r="B139" s="125" t="str">
        <f>IF(Picks!B139="","",Picks!B139)</f>
        <v>Villa draw</v>
      </c>
      <c r="C139" s="579">
        <f>IF(Picks!C139="","",Picks!C139)</f>
        <v>7</v>
      </c>
      <c r="D139" s="126">
        <f>IF(Picks!D139="","",Picks!D139)</f>
        <v>4.3333333333333339</v>
      </c>
      <c r="E139" s="79" t="str">
        <f>IF(Picks!E139="","",Picks!E139)</f>
        <v>x</v>
      </c>
      <c r="F139" s="129" t="str">
        <f>IF(Picks!F139="","",Picks!F139)</f>
        <v/>
      </c>
      <c r="G139" s="44" t="str">
        <f>IF(Picks!G139="","",Picks!G139)</f>
        <v/>
      </c>
    </row>
    <row r="140" spans="1:7" ht="13.9" thickTop="1" thickBot="1">
      <c r="A140" s="112" t="str">
        <f>IF(Picks!A140="","",Picks!A140)</f>
        <v>Stephen Barr</v>
      </c>
      <c r="B140" s="107" t="str">
        <f>IF(Picks!B140="","",Picks!B140)</f>
        <v>Newcastle</v>
      </c>
      <c r="C140" s="578">
        <f>IF(Picks!C140="","",Picks!C140)</f>
        <v>7</v>
      </c>
      <c r="D140" s="108">
        <f>IF(Picks!D140="","",Picks!D140)</f>
        <v>1.85</v>
      </c>
      <c r="E140" s="109" t="str">
        <f>IF(Picks!E140="","",Picks!E140)</f>
        <v>√</v>
      </c>
      <c r="F140" s="110">
        <f>IF(Picks!F140="","",Picks!F140)</f>
        <v>1.6187500000000004</v>
      </c>
      <c r="G140" s="111">
        <f>IF(Picks!G140="","",Picks!G140)</f>
        <v>37.20812500000001</v>
      </c>
    </row>
    <row r="141" spans="1:7" ht="13.15">
      <c r="A141" s="112"/>
      <c r="B141" s="59" t="str">
        <f>IF(Picks!B141="","",Picks!B141)</f>
        <v>Bournemouth draw</v>
      </c>
      <c r="C141" s="578">
        <f>IF(Picks!C141="","",Picks!C141)</f>
        <v>7</v>
      </c>
      <c r="D141" s="44">
        <f>IF(Picks!D141="","",Picks!D141)</f>
        <v>3.7</v>
      </c>
      <c r="E141" s="79" t="str">
        <f>IF(Picks!E141="","",Picks!E141)</f>
        <v>x</v>
      </c>
      <c r="F141" s="129" t="str">
        <f>IF(Picks!F141="","",Picks!F141)</f>
        <v/>
      </c>
      <c r="G141" s="44" t="str">
        <f>IF(Picks!G141="","",Picks!G141)</f>
        <v/>
      </c>
    </row>
    <row r="142" spans="1:7" ht="13.5" thickBot="1">
      <c r="A142" s="130"/>
      <c r="B142" s="125" t="str">
        <f>IF(Picks!B142="","",Picks!B142)</f>
        <v>Coventry</v>
      </c>
      <c r="C142" s="579">
        <f>IF(Picks!C142="","",Picks!C142)</f>
        <v>6</v>
      </c>
      <c r="D142" s="126">
        <f>IF(Picks!D142="","",Picks!D142)</f>
        <v>2.375</v>
      </c>
      <c r="E142" s="79" t="str">
        <f>IF(Picks!E142="","",Picks!E142)</f>
        <v>√</v>
      </c>
      <c r="F142" s="129" t="str">
        <f>IF(Picks!F142="","",Picks!F142)</f>
        <v/>
      </c>
      <c r="G142" s="44" t="str">
        <f>IF(Picks!G142="","",Picks!G142)</f>
        <v/>
      </c>
    </row>
    <row r="143" spans="1:7" ht="13.9" thickTop="1" thickBot="1">
      <c r="A143" s="112" t="str">
        <f>IF(Picks!A143="","",Picks!A143)</f>
        <v>Steve Carter</v>
      </c>
      <c r="B143" s="107" t="str">
        <f>IF(Picks!B143="","",Picks!B143)</f>
        <v>Ipswich</v>
      </c>
      <c r="C143" s="578">
        <f>IF(Picks!C143="","",Picks!C143)</f>
        <v>6</v>
      </c>
      <c r="D143" s="108">
        <f>IF(Picks!D143="","",Picks!D143)</f>
        <v>1.85</v>
      </c>
      <c r="E143" s="109" t="str">
        <f>IF(Picks!E143="","",Picks!E143)</f>
        <v>√</v>
      </c>
      <c r="F143" s="110">
        <f>IF(Picks!F143="","",Picks!F143)</f>
        <v>0.83500000000000085</v>
      </c>
      <c r="G143" s="111">
        <f>IF(Picks!G143="","",Picks!G143)</f>
        <v>15.854500000000002</v>
      </c>
    </row>
    <row r="144" spans="1:7" ht="13.15">
      <c r="A144" s="112"/>
      <c r="B144" s="59" t="str">
        <f>IF(Picks!B144="","",Picks!B144)</f>
        <v>Bournemouth</v>
      </c>
      <c r="C144" s="578">
        <f>IF(Picks!C144="","",Picks!C144)</f>
        <v>7</v>
      </c>
      <c r="D144" s="44">
        <f>IF(Picks!D144="","",Picks!D144)</f>
        <v>2.1</v>
      </c>
      <c r="E144" s="79" t="str">
        <f>IF(Picks!E144="","",Picks!E144)</f>
        <v>√</v>
      </c>
      <c r="F144" s="129" t="str">
        <f>IF(Picks!F144="","",Picks!F144)</f>
        <v/>
      </c>
      <c r="G144" s="44" t="str">
        <f>IF(Picks!G144="","",Picks!G144)</f>
        <v/>
      </c>
    </row>
    <row r="145" spans="1:7" ht="13.5" thickBot="1">
      <c r="A145" s="130"/>
      <c r="B145" s="125" t="str">
        <f>IF(Picks!B145="","",Picks!B145)</f>
        <v>Fulham</v>
      </c>
      <c r="C145" s="579">
        <f>IF(Picks!C145="","",Picks!C145)</f>
        <v>7</v>
      </c>
      <c r="D145" s="126">
        <f>IF(Picks!D145="","",Picks!D145)</f>
        <v>1.7</v>
      </c>
      <c r="E145" s="79" t="str">
        <f>IF(Picks!E145="","",Picks!E145)</f>
        <v>x</v>
      </c>
      <c r="F145" s="129" t="str">
        <f>IF(Picks!F145="","",Picks!F145)</f>
        <v/>
      </c>
      <c r="G145" s="44" t="str">
        <f>IF(Picks!G145="","",Picks!G145)</f>
        <v/>
      </c>
    </row>
    <row r="146" spans="1:7" ht="13.9" thickTop="1" thickBot="1">
      <c r="A146" s="112" t="str">
        <f>IF(Picks!A146="","",Picks!A146)</f>
        <v>Tom Robinson</v>
      </c>
      <c r="B146" s="107" t="str">
        <f>IF(Picks!B146="","",Picks!B146)</f>
        <v>QPR</v>
      </c>
      <c r="C146" s="578">
        <f>IF(Picks!C146="","",Picks!C146)</f>
        <v>6</v>
      </c>
      <c r="D146" s="108">
        <f>IF(Picks!D146="","",Picks!D146)</f>
        <v>2</v>
      </c>
      <c r="E146" s="109" t="str">
        <f>IF(Picks!E146="","",Picks!E146)</f>
        <v>√</v>
      </c>
      <c r="F146" s="110">
        <f>IF(Picks!F146="","",Picks!F146)</f>
        <v>-5</v>
      </c>
      <c r="G146" s="111">
        <f>IF(Picks!G146="","",Picks!G146)</f>
        <v>31.825000000000003</v>
      </c>
    </row>
    <row r="147" spans="1:7" ht="13.15">
      <c r="A147" s="112"/>
      <c r="B147" s="59" t="str">
        <f>IF(Picks!B147="","",Picks!B147)</f>
        <v>Wigan</v>
      </c>
      <c r="C147" s="578">
        <f>IF(Picks!C147="","",Picks!C147)</f>
        <v>6</v>
      </c>
      <c r="D147" s="44">
        <f>IF(Picks!D147="","",Picks!D147)</f>
        <v>1.95</v>
      </c>
      <c r="E147" s="79" t="str">
        <f>IF(Picks!E147="","",Picks!E147)</f>
        <v>x</v>
      </c>
      <c r="F147" s="129" t="str">
        <f>IF(Picks!F147="","",Picks!F147)</f>
        <v/>
      </c>
      <c r="G147" s="44" t="str">
        <f>IF(Picks!G147="","",Picks!G147)</f>
        <v/>
      </c>
    </row>
    <row r="148" spans="1:7" ht="13.5" thickBot="1">
      <c r="A148" s="130"/>
      <c r="B148" s="125" t="str">
        <f>IF(Picks!B148="","",Picks!B148)</f>
        <v>Bradford draw</v>
      </c>
      <c r="C148" s="579">
        <f>IF(Picks!C148="","",Picks!C148)</f>
        <v>6</v>
      </c>
      <c r="D148" s="126">
        <f>IF(Picks!D148="","",Picks!D148)</f>
        <v>3.5</v>
      </c>
      <c r="E148" s="79" t="str">
        <f>IF(Picks!E148="","",Picks!E148)</f>
        <v>x</v>
      </c>
      <c r="F148" s="129" t="str">
        <f>IF(Picks!F148="","",Picks!F148)</f>
        <v/>
      </c>
      <c r="G148" s="44" t="str">
        <f>IF(Picks!G148="","",Picks!G148)</f>
        <v/>
      </c>
    </row>
    <row r="149" spans="1:7" ht="13.9" thickTop="1" thickBot="1">
      <c r="A149" s="112" t="str">
        <f>IF(Picks!A149="","",Picks!A149)</f>
        <v>Vinny Topping</v>
      </c>
      <c r="B149" s="107" t="str">
        <f>IF(Picks!B149="","",Picks!B149)</f>
        <v>Hull</v>
      </c>
      <c r="C149" s="578">
        <f>IF(Picks!C149="","",Picks!C149)</f>
        <v>6</v>
      </c>
      <c r="D149" s="108">
        <f>IF(Picks!D149="","",Picks!D149)</f>
        <v>1.9090909090909092</v>
      </c>
      <c r="E149" s="109" t="str">
        <f>IF(Picks!E149="","",Picks!E149)</f>
        <v>x</v>
      </c>
      <c r="F149" s="110">
        <f>IF(Picks!F149="","",Picks!F149)</f>
        <v>-5.15</v>
      </c>
      <c r="G149" s="111">
        <f>IF(Picks!G149="","",Picks!G149)</f>
        <v>16.458181818181817</v>
      </c>
    </row>
    <row r="150" spans="1:7" ht="13.15">
      <c r="A150" s="112"/>
      <c r="B150" s="59" t="str">
        <f>IF(Picks!B150="","",Picks!B150)</f>
        <v>Derby</v>
      </c>
      <c r="C150" s="578">
        <f>IF(Picks!C150="","",Picks!C150)</f>
        <v>6</v>
      </c>
      <c r="D150" s="44">
        <f>IF(Picks!D150="","",Picks!D150)</f>
        <v>1.85</v>
      </c>
      <c r="E150" s="79" t="str">
        <f>IF(Picks!E150="","",Picks!E150)</f>
        <v>√</v>
      </c>
      <c r="F150" s="129" t="str">
        <f>IF(Picks!F150="","",Picks!F150)</f>
        <v/>
      </c>
      <c r="G150" s="44" t="str">
        <f>IF(Picks!G150="","",Picks!G150)</f>
        <v/>
      </c>
    </row>
    <row r="151" spans="1:7" ht="13.5" thickBot="1">
      <c r="A151" s="130"/>
      <c r="B151" s="125" t="str">
        <f>IF(Picks!B151="","",Picks!B151)</f>
        <v>Wigan</v>
      </c>
      <c r="C151" s="579">
        <f>IF(Picks!C151="","",Picks!C151)</f>
        <v>6</v>
      </c>
      <c r="D151" s="126">
        <f>IF(Picks!D151="","",Picks!D151)</f>
        <v>1.95</v>
      </c>
      <c r="E151" s="79" t="str">
        <f>IF(Picks!E151="","",Picks!E151)</f>
        <v>x</v>
      </c>
      <c r="F151" s="129" t="str">
        <f>IF(Picks!F151="","",Picks!F151)</f>
        <v/>
      </c>
      <c r="G151" s="44" t="str">
        <f>IF(Picks!G151="","",Picks!G151)</f>
        <v/>
      </c>
    </row>
    <row r="152" spans="1:7" ht="13.15" thickTop="1">
      <c r="E152" s="664"/>
      <c r="F152" s="664"/>
      <c r="G152" s="664"/>
    </row>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H111"/>
  <sheetViews>
    <sheetView zoomScale="90" zoomScaleNormal="90" workbookViewId="0">
      <pane ySplit="1" topLeftCell="A2" activePane="bottomLeft" state="frozen"/>
      <selection pane="bottomLeft" activeCell="C42" sqref="C42"/>
    </sheetView>
  </sheetViews>
  <sheetFormatPr defaultRowHeight="12.75"/>
  <cols>
    <col min="1" max="1" width="10.265625" style="355" customWidth="1"/>
    <col min="2" max="2" width="9.1328125" style="4" customWidth="1"/>
    <col min="3" max="3" width="27.1328125" style="4" customWidth="1"/>
    <col min="4" max="5" width="10.1328125" style="127" customWidth="1"/>
    <col min="6" max="6" width="32.73046875" customWidth="1"/>
    <col min="7" max="7" width="13.19921875" bestFit="1" customWidth="1"/>
    <col min="8" max="8" width="15.3984375" bestFit="1" customWidth="1"/>
  </cols>
  <sheetData>
    <row r="1" spans="1:8" ht="45.6" customHeight="1">
      <c r="A1" s="507" t="s">
        <v>438</v>
      </c>
      <c r="B1" s="402" t="s">
        <v>433</v>
      </c>
      <c r="C1" s="402" t="s">
        <v>440</v>
      </c>
      <c r="D1" s="402" t="s">
        <v>222</v>
      </c>
      <c r="E1" s="402" t="s">
        <v>442</v>
      </c>
    </row>
    <row r="2" spans="1:8">
      <c r="A2" s="401"/>
      <c r="B2" s="400"/>
      <c r="C2" s="401" t="s">
        <v>505</v>
      </c>
      <c r="D2" s="399" t="s">
        <v>226</v>
      </c>
      <c r="E2" s="399"/>
      <c r="G2" s="472" t="s">
        <v>436</v>
      </c>
      <c r="H2" t="s">
        <v>441</v>
      </c>
    </row>
    <row r="3" spans="1:8">
      <c r="A3" s="401"/>
      <c r="B3" s="400"/>
      <c r="C3" s="401" t="s">
        <v>279</v>
      </c>
      <c r="D3" s="399" t="s">
        <v>226</v>
      </c>
      <c r="E3" s="399"/>
      <c r="G3" s="4" t="s">
        <v>226</v>
      </c>
      <c r="H3">
        <v>16</v>
      </c>
    </row>
    <row r="4" spans="1:8">
      <c r="A4" s="401"/>
      <c r="B4" s="400"/>
      <c r="C4" s="401" t="s">
        <v>273</v>
      </c>
      <c r="D4" s="399" t="s">
        <v>226</v>
      </c>
      <c r="E4" s="399"/>
      <c r="G4" s="4" t="s">
        <v>227</v>
      </c>
      <c r="H4">
        <v>16</v>
      </c>
    </row>
    <row r="5" spans="1:8">
      <c r="A5" s="401"/>
      <c r="B5" s="400"/>
      <c r="C5" s="401" t="s">
        <v>298</v>
      </c>
      <c r="D5" s="399" t="s">
        <v>226</v>
      </c>
      <c r="E5" s="399"/>
      <c r="G5" s="4" t="s">
        <v>228</v>
      </c>
      <c r="H5">
        <v>16</v>
      </c>
    </row>
    <row r="6" spans="1:8">
      <c r="A6" s="401"/>
      <c r="B6" s="400"/>
      <c r="C6" s="401" t="s">
        <v>306</v>
      </c>
      <c r="D6" s="399" t="s">
        <v>226</v>
      </c>
      <c r="E6" s="399"/>
      <c r="G6" s="4" t="s">
        <v>229</v>
      </c>
      <c r="H6">
        <v>10</v>
      </c>
    </row>
    <row r="7" spans="1:8">
      <c r="A7" s="401"/>
      <c r="B7" s="400"/>
      <c r="C7" s="401" t="s">
        <v>508</v>
      </c>
      <c r="D7" s="399" t="s">
        <v>226</v>
      </c>
      <c r="E7" s="399"/>
      <c r="G7" s="4" t="s">
        <v>504</v>
      </c>
      <c r="H7">
        <v>3</v>
      </c>
    </row>
    <row r="8" spans="1:8">
      <c r="A8" s="401"/>
      <c r="B8" s="400"/>
      <c r="C8" s="401" t="s">
        <v>362</v>
      </c>
      <c r="D8" s="399" t="s">
        <v>226</v>
      </c>
      <c r="E8" s="399"/>
      <c r="G8" s="4" t="s">
        <v>423</v>
      </c>
    </row>
    <row r="9" spans="1:8">
      <c r="A9" s="401"/>
      <c r="B9" s="400"/>
      <c r="C9" s="401" t="s">
        <v>276</v>
      </c>
      <c r="D9" s="399" t="s">
        <v>226</v>
      </c>
      <c r="E9" s="399"/>
      <c r="G9" s="4" t="s">
        <v>144</v>
      </c>
      <c r="H9">
        <v>61</v>
      </c>
    </row>
    <row r="10" spans="1:8">
      <c r="A10" s="401"/>
      <c r="B10" s="400"/>
      <c r="C10" s="401" t="s">
        <v>293</v>
      </c>
      <c r="D10" s="399" t="s">
        <v>226</v>
      </c>
      <c r="E10" s="399"/>
    </row>
    <row r="11" spans="1:8">
      <c r="A11" s="401"/>
      <c r="B11" s="400"/>
      <c r="C11" s="401" t="s">
        <v>303</v>
      </c>
      <c r="D11" s="399" t="s">
        <v>226</v>
      </c>
      <c r="E11" s="399"/>
    </row>
    <row r="12" spans="1:8">
      <c r="A12" s="401"/>
      <c r="B12" s="400"/>
      <c r="C12" s="401" t="s">
        <v>282</v>
      </c>
      <c r="D12" s="399" t="s">
        <v>226</v>
      </c>
      <c r="E12" s="399"/>
    </row>
    <row r="13" spans="1:8">
      <c r="A13" s="401"/>
      <c r="B13" s="400"/>
      <c r="C13" s="401" t="s">
        <v>277</v>
      </c>
      <c r="D13" s="399" t="s">
        <v>226</v>
      </c>
      <c r="E13" s="399"/>
    </row>
    <row r="14" spans="1:8">
      <c r="A14" s="401"/>
      <c r="B14" s="400"/>
      <c r="C14" s="401" t="s">
        <v>287</v>
      </c>
      <c r="D14" s="399" t="s">
        <v>226</v>
      </c>
      <c r="E14" s="399"/>
    </row>
    <row r="15" spans="1:8">
      <c r="A15" s="401"/>
      <c r="B15" s="400"/>
      <c r="C15" s="401" t="s">
        <v>301</v>
      </c>
      <c r="D15" s="399" t="s">
        <v>226</v>
      </c>
      <c r="E15" s="399"/>
    </row>
    <row r="16" spans="1:8">
      <c r="A16" s="401"/>
      <c r="B16" s="400"/>
      <c r="C16" s="401" t="s">
        <v>304</v>
      </c>
      <c r="D16" s="399" t="s">
        <v>226</v>
      </c>
      <c r="E16" s="399"/>
    </row>
    <row r="17" spans="1:5">
      <c r="A17" s="401"/>
      <c r="B17" s="400"/>
      <c r="C17" s="401" t="s">
        <v>274</v>
      </c>
      <c r="D17" s="399" t="s">
        <v>226</v>
      </c>
      <c r="E17" s="399"/>
    </row>
    <row r="18" spans="1:5">
      <c r="A18" s="401"/>
      <c r="B18" s="400"/>
      <c r="C18" s="401" t="s">
        <v>284</v>
      </c>
      <c r="D18" s="399" t="s">
        <v>227</v>
      </c>
      <c r="E18" s="399"/>
    </row>
    <row r="19" spans="1:5">
      <c r="A19" s="401"/>
      <c r="B19" s="400"/>
      <c r="C19" s="401" t="s">
        <v>361</v>
      </c>
      <c r="D19" s="399" t="s">
        <v>227</v>
      </c>
      <c r="E19" s="399"/>
    </row>
    <row r="20" spans="1:5">
      <c r="A20" s="401"/>
      <c r="B20" s="400"/>
      <c r="C20" s="401" t="s">
        <v>299</v>
      </c>
      <c r="D20" s="399" t="s">
        <v>227</v>
      </c>
      <c r="E20" s="399"/>
    </row>
    <row r="21" spans="1:5">
      <c r="A21" s="401"/>
      <c r="B21" s="400"/>
      <c r="C21" s="401" t="s">
        <v>302</v>
      </c>
      <c r="D21" s="399" t="s">
        <v>227</v>
      </c>
      <c r="E21" s="399"/>
    </row>
    <row r="22" spans="1:5">
      <c r="A22" s="401"/>
      <c r="B22" s="400"/>
      <c r="C22" s="401" t="s">
        <v>359</v>
      </c>
      <c r="D22" s="399" t="s">
        <v>227</v>
      </c>
      <c r="E22" s="399"/>
    </row>
    <row r="23" spans="1:5">
      <c r="A23" s="401"/>
      <c r="B23" s="400"/>
      <c r="C23" s="401" t="s">
        <v>360</v>
      </c>
      <c r="D23" s="399" t="s">
        <v>227</v>
      </c>
      <c r="E23" s="399"/>
    </row>
    <row r="24" spans="1:5">
      <c r="A24" s="401"/>
      <c r="B24" s="400"/>
      <c r="C24" s="401" t="s">
        <v>363</v>
      </c>
      <c r="D24" s="399" t="s">
        <v>227</v>
      </c>
      <c r="E24" s="399"/>
    </row>
    <row r="25" spans="1:5">
      <c r="A25" s="401"/>
      <c r="B25" s="400"/>
      <c r="C25" s="401" t="s">
        <v>294</v>
      </c>
      <c r="D25" s="399" t="s">
        <v>227</v>
      </c>
      <c r="E25" s="399"/>
    </row>
    <row r="26" spans="1:5">
      <c r="A26" s="401"/>
      <c r="B26" s="400"/>
      <c r="C26" s="401" t="s">
        <v>278</v>
      </c>
      <c r="D26" s="399" t="s">
        <v>227</v>
      </c>
      <c r="E26" s="399"/>
    </row>
    <row r="27" spans="1:5">
      <c r="A27" s="401"/>
      <c r="B27" s="400"/>
      <c r="C27" s="401" t="s">
        <v>365</v>
      </c>
      <c r="D27" s="399" t="s">
        <v>227</v>
      </c>
      <c r="E27" s="399"/>
    </row>
    <row r="28" spans="1:5">
      <c r="A28" s="401"/>
      <c r="B28" s="400"/>
      <c r="C28" s="401" t="s">
        <v>300</v>
      </c>
      <c r="D28" s="399" t="s">
        <v>227</v>
      </c>
      <c r="E28" s="399"/>
    </row>
    <row r="29" spans="1:5">
      <c r="A29" s="401"/>
      <c r="B29" s="400"/>
      <c r="C29" s="401" t="s">
        <v>271</v>
      </c>
      <c r="D29" s="399" t="s">
        <v>227</v>
      </c>
      <c r="E29" s="399"/>
    </row>
    <row r="30" spans="1:5">
      <c r="A30" s="401"/>
      <c r="B30" s="400"/>
      <c r="C30" s="401" t="s">
        <v>296</v>
      </c>
      <c r="D30" s="399" t="s">
        <v>227</v>
      </c>
      <c r="E30" s="399"/>
    </row>
    <row r="31" spans="1:5">
      <c r="A31" s="401"/>
      <c r="B31" s="400"/>
      <c r="C31" s="401" t="s">
        <v>280</v>
      </c>
      <c r="D31" s="399" t="s">
        <v>227</v>
      </c>
      <c r="E31" s="399"/>
    </row>
    <row r="32" spans="1:5">
      <c r="A32" s="401"/>
      <c r="B32" s="400"/>
      <c r="C32" s="401" t="s">
        <v>272</v>
      </c>
      <c r="D32" s="399" t="s">
        <v>227</v>
      </c>
      <c r="E32" s="399"/>
    </row>
    <row r="33" spans="1:5">
      <c r="A33" s="401"/>
      <c r="B33" s="400"/>
      <c r="C33" s="401" t="s">
        <v>291</v>
      </c>
      <c r="D33" s="399" t="s">
        <v>227</v>
      </c>
      <c r="E33" s="399"/>
    </row>
    <row r="34" spans="1:5">
      <c r="A34" s="401"/>
      <c r="B34" s="400"/>
      <c r="C34" s="401" t="s">
        <v>289</v>
      </c>
      <c r="D34" s="399" t="s">
        <v>228</v>
      </c>
      <c r="E34" s="399"/>
    </row>
    <row r="35" spans="1:5">
      <c r="A35" s="401"/>
      <c r="B35" s="400"/>
      <c r="C35" s="401" t="s">
        <v>435</v>
      </c>
      <c r="D35" s="399" t="s">
        <v>228</v>
      </c>
      <c r="E35" s="399"/>
    </row>
    <row r="36" spans="1:5">
      <c r="A36" s="401"/>
      <c r="B36" s="400"/>
      <c r="C36" s="401" t="s">
        <v>527</v>
      </c>
      <c r="D36" s="399" t="s">
        <v>228</v>
      </c>
      <c r="E36" s="399"/>
    </row>
    <row r="37" spans="1:5">
      <c r="A37" s="401"/>
      <c r="B37" s="400"/>
      <c r="C37" s="401" t="s">
        <v>366</v>
      </c>
      <c r="D37" s="399" t="s">
        <v>228</v>
      </c>
      <c r="E37" s="399"/>
    </row>
    <row r="38" spans="1:5">
      <c r="A38" s="401"/>
      <c r="B38" s="400"/>
      <c r="C38" s="401" t="s">
        <v>358</v>
      </c>
      <c r="D38" s="399" t="s">
        <v>228</v>
      </c>
      <c r="E38" s="399"/>
    </row>
    <row r="39" spans="1:5">
      <c r="A39" s="401"/>
      <c r="B39" s="400"/>
      <c r="C39" s="401" t="s">
        <v>305</v>
      </c>
      <c r="D39" s="399" t="s">
        <v>228</v>
      </c>
      <c r="E39" s="399"/>
    </row>
    <row r="40" spans="1:5">
      <c r="A40" s="401"/>
      <c r="B40" s="400"/>
      <c r="C40" s="401" t="s">
        <v>368</v>
      </c>
      <c r="D40" s="399" t="s">
        <v>228</v>
      </c>
      <c r="E40" s="399"/>
    </row>
    <row r="41" spans="1:5">
      <c r="A41" s="401"/>
      <c r="B41" s="400"/>
      <c r="C41" s="401" t="s">
        <v>509</v>
      </c>
      <c r="D41" s="399" t="s">
        <v>228</v>
      </c>
      <c r="E41" s="399"/>
    </row>
    <row r="42" spans="1:5">
      <c r="A42" s="401"/>
      <c r="B42" s="400"/>
      <c r="C42" s="401" t="s">
        <v>367</v>
      </c>
      <c r="D42" s="399" t="s">
        <v>228</v>
      </c>
      <c r="E42" s="399"/>
    </row>
    <row r="43" spans="1:5">
      <c r="A43" s="401"/>
      <c r="B43" s="400"/>
      <c r="C43" s="401" t="s">
        <v>286</v>
      </c>
      <c r="D43" s="399" t="s">
        <v>228</v>
      </c>
      <c r="E43" s="399"/>
    </row>
    <row r="44" spans="1:5">
      <c r="A44" s="401"/>
      <c r="B44" s="400"/>
      <c r="C44" s="401" t="s">
        <v>290</v>
      </c>
      <c r="D44" s="399" t="s">
        <v>228</v>
      </c>
      <c r="E44" s="399"/>
    </row>
    <row r="45" spans="1:5">
      <c r="A45" s="401"/>
      <c r="B45" s="400"/>
      <c r="C45" s="401" t="s">
        <v>283</v>
      </c>
      <c r="D45" s="399" t="s">
        <v>228</v>
      </c>
      <c r="E45" s="399"/>
    </row>
    <row r="46" spans="1:5">
      <c r="A46" s="401"/>
      <c r="B46" s="400"/>
      <c r="C46" s="401" t="s">
        <v>364</v>
      </c>
      <c r="D46" s="399" t="s">
        <v>228</v>
      </c>
      <c r="E46" s="399"/>
    </row>
    <row r="47" spans="1:5">
      <c r="A47" s="401"/>
      <c r="B47" s="400"/>
      <c r="C47" s="401" t="s">
        <v>307</v>
      </c>
      <c r="D47" s="399" t="s">
        <v>228</v>
      </c>
      <c r="E47" s="399"/>
    </row>
    <row r="48" spans="1:5">
      <c r="A48" s="401"/>
      <c r="B48" s="400"/>
      <c r="C48" s="401" t="s">
        <v>295</v>
      </c>
      <c r="D48" s="399" t="s">
        <v>228</v>
      </c>
      <c r="E48" s="399"/>
    </row>
    <row r="49" spans="1:5">
      <c r="A49" s="401"/>
      <c r="B49" s="400"/>
      <c r="C49" s="401" t="s">
        <v>314</v>
      </c>
      <c r="D49" s="399" t="s">
        <v>228</v>
      </c>
      <c r="E49" s="399"/>
    </row>
    <row r="50" spans="1:5">
      <c r="A50" s="401"/>
      <c r="B50" s="400"/>
      <c r="C50" s="401" t="s">
        <v>308</v>
      </c>
      <c r="D50" s="399" t="s">
        <v>229</v>
      </c>
      <c r="E50" s="399"/>
    </row>
    <row r="51" spans="1:5">
      <c r="A51" s="401"/>
      <c r="B51" s="400"/>
      <c r="C51" s="401" t="s">
        <v>507</v>
      </c>
      <c r="D51" s="399" t="s">
        <v>229</v>
      </c>
      <c r="E51" s="399"/>
    </row>
    <row r="52" spans="1:5">
      <c r="A52" s="401"/>
      <c r="B52" s="400"/>
      <c r="C52" s="401" t="s">
        <v>288</v>
      </c>
      <c r="D52" s="399" t="s">
        <v>229</v>
      </c>
      <c r="E52" s="399"/>
    </row>
    <row r="53" spans="1:5">
      <c r="A53" s="401"/>
      <c r="B53" s="400"/>
      <c r="C53" s="401" t="s">
        <v>506</v>
      </c>
      <c r="D53" s="399" t="s">
        <v>229</v>
      </c>
      <c r="E53" s="399"/>
    </row>
    <row r="54" spans="1:5">
      <c r="A54" s="401"/>
      <c r="B54" s="400"/>
      <c r="C54" s="401" t="s">
        <v>515</v>
      </c>
      <c r="D54" s="399" t="s">
        <v>229</v>
      </c>
      <c r="E54" s="399"/>
    </row>
    <row r="55" spans="1:5">
      <c r="A55" s="401"/>
      <c r="B55" s="400"/>
      <c r="C55" s="401" t="s">
        <v>357</v>
      </c>
      <c r="D55" s="399" t="s">
        <v>229</v>
      </c>
      <c r="E55" s="399"/>
    </row>
    <row r="56" spans="1:5">
      <c r="A56" s="401"/>
      <c r="B56" s="400"/>
      <c r="C56" s="401" t="s">
        <v>281</v>
      </c>
      <c r="D56" s="399" t="s">
        <v>229</v>
      </c>
      <c r="E56" s="399"/>
    </row>
    <row r="57" spans="1:5">
      <c r="A57" s="401"/>
      <c r="B57" s="400"/>
      <c r="C57" s="401" t="s">
        <v>292</v>
      </c>
      <c r="D57" s="399" t="s">
        <v>229</v>
      </c>
      <c r="E57" s="399"/>
    </row>
    <row r="58" spans="1:5">
      <c r="A58" s="401"/>
      <c r="B58" s="400"/>
      <c r="C58" s="401" t="s">
        <v>526</v>
      </c>
      <c r="D58" s="399" t="s">
        <v>229</v>
      </c>
      <c r="E58" s="399"/>
    </row>
    <row r="59" spans="1:5">
      <c r="A59" s="401"/>
      <c r="B59" s="400"/>
      <c r="C59" s="401" t="s">
        <v>297</v>
      </c>
      <c r="D59" s="399" t="s">
        <v>229</v>
      </c>
      <c r="E59" s="399"/>
    </row>
    <row r="60" spans="1:5">
      <c r="A60" s="401"/>
      <c r="B60" s="400"/>
      <c r="C60" s="401" t="s">
        <v>434</v>
      </c>
      <c r="D60" s="399" t="s">
        <v>504</v>
      </c>
      <c r="E60" s="399"/>
    </row>
    <row r="61" spans="1:5">
      <c r="A61" s="401"/>
      <c r="B61" s="400"/>
      <c r="C61" s="401" t="s">
        <v>315</v>
      </c>
      <c r="D61" s="399" t="s">
        <v>504</v>
      </c>
      <c r="E61" s="399"/>
    </row>
    <row r="62" spans="1:5">
      <c r="A62" s="401"/>
      <c r="B62" s="400"/>
      <c r="C62" s="401" t="s">
        <v>275</v>
      </c>
      <c r="D62" s="399" t="s">
        <v>504</v>
      </c>
      <c r="E62" s="399"/>
    </row>
    <row r="63" spans="1:5">
      <c r="A63" s="401"/>
      <c r="B63" s="400"/>
      <c r="C63" s="401"/>
      <c r="D63" s="399"/>
      <c r="E63" s="399"/>
    </row>
    <row r="64" spans="1:5">
      <c r="A64" s="401"/>
      <c r="B64" s="400"/>
      <c r="C64" s="401"/>
      <c r="D64" s="399"/>
      <c r="E64" s="399"/>
    </row>
    <row r="65" spans="1:5">
      <c r="A65" s="401"/>
      <c r="B65" s="400"/>
      <c r="C65" s="401"/>
      <c r="D65" s="399"/>
      <c r="E65" s="399"/>
    </row>
    <row r="66" spans="1:5">
      <c r="A66" s="401"/>
      <c r="B66" s="400"/>
      <c r="C66" s="401"/>
      <c r="D66" s="399"/>
      <c r="E66" s="399"/>
    </row>
    <row r="67" spans="1:5">
      <c r="A67" s="401"/>
      <c r="B67" s="400"/>
      <c r="C67" s="401"/>
      <c r="D67" s="399"/>
      <c r="E67" s="399"/>
    </row>
    <row r="68" spans="1:5">
      <c r="A68" s="401"/>
      <c r="B68" s="400"/>
      <c r="C68" s="401"/>
      <c r="D68" s="399"/>
      <c r="E68" s="399"/>
    </row>
    <row r="69" spans="1:5">
      <c r="A69" s="401"/>
      <c r="B69" s="400"/>
      <c r="C69" s="401"/>
      <c r="D69" s="399"/>
      <c r="E69" s="399"/>
    </row>
    <row r="70" spans="1:5">
      <c r="A70" s="401"/>
      <c r="B70" s="400"/>
      <c r="C70" s="401"/>
      <c r="D70" s="399"/>
      <c r="E70" s="399"/>
    </row>
    <row r="71" spans="1:5">
      <c r="A71" s="401"/>
      <c r="B71" s="400"/>
      <c r="C71" s="401"/>
      <c r="D71" s="399"/>
      <c r="E71" s="399"/>
    </row>
    <row r="72" spans="1:5">
      <c r="A72" s="401"/>
      <c r="B72" s="400"/>
      <c r="C72" s="401"/>
      <c r="D72" s="399"/>
      <c r="E72" s="399"/>
    </row>
    <row r="73" spans="1:5">
      <c r="A73" s="401"/>
      <c r="B73" s="400"/>
      <c r="C73" s="401"/>
      <c r="D73" s="399"/>
      <c r="E73" s="399"/>
    </row>
    <row r="74" spans="1:5">
      <c r="A74" s="401"/>
      <c r="B74" s="400"/>
      <c r="C74" s="400"/>
      <c r="D74" s="399"/>
      <c r="E74" s="399"/>
    </row>
    <row r="75" spans="1:5">
      <c r="A75" s="401"/>
      <c r="B75" s="400"/>
      <c r="C75" s="400"/>
      <c r="D75" s="399"/>
      <c r="E75" s="399"/>
    </row>
    <row r="76" spans="1:5">
      <c r="A76" s="401"/>
      <c r="B76" s="400"/>
      <c r="C76" s="400"/>
      <c r="D76" s="399"/>
      <c r="E76" s="399"/>
    </row>
    <row r="77" spans="1:5">
      <c r="A77" s="401"/>
      <c r="B77" s="400"/>
      <c r="C77" s="400"/>
      <c r="D77" s="399"/>
      <c r="E77" s="399"/>
    </row>
    <row r="78" spans="1:5">
      <c r="A78" s="401"/>
      <c r="B78" s="400"/>
      <c r="C78" s="400"/>
      <c r="D78" s="399"/>
      <c r="E78" s="399"/>
    </row>
    <row r="79" spans="1:5">
      <c r="A79" s="401"/>
      <c r="B79" s="400"/>
      <c r="C79" s="400"/>
      <c r="D79" s="399"/>
      <c r="E79" s="399"/>
    </row>
    <row r="80" spans="1:5">
      <c r="A80" s="401"/>
      <c r="B80" s="400"/>
      <c r="C80" s="400"/>
      <c r="D80" s="399"/>
      <c r="E80" s="399"/>
    </row>
    <row r="81" spans="1:5">
      <c r="A81" s="401"/>
      <c r="B81" s="400"/>
      <c r="C81" s="400"/>
      <c r="D81" s="399"/>
      <c r="E81" s="399"/>
    </row>
    <row r="82" spans="1:5">
      <c r="A82" s="401"/>
      <c r="B82" s="400"/>
      <c r="C82" s="400"/>
      <c r="D82" s="399"/>
      <c r="E82" s="399"/>
    </row>
    <row r="83" spans="1:5">
      <c r="A83" s="401"/>
      <c r="B83" s="400"/>
      <c r="C83" s="400"/>
      <c r="D83" s="399"/>
      <c r="E83" s="399"/>
    </row>
    <row r="84" spans="1:5">
      <c r="A84" s="401"/>
      <c r="B84" s="400"/>
      <c r="C84" s="400"/>
      <c r="D84" s="399"/>
      <c r="E84" s="399"/>
    </row>
    <row r="85" spans="1:5">
      <c r="A85" s="401"/>
      <c r="B85" s="400"/>
      <c r="C85" s="400"/>
      <c r="D85" s="399"/>
      <c r="E85" s="399"/>
    </row>
    <row r="86" spans="1:5">
      <c r="A86" s="401"/>
      <c r="B86" s="400"/>
      <c r="C86" s="400"/>
      <c r="D86" s="399"/>
      <c r="E86" s="399"/>
    </row>
    <row r="87" spans="1:5">
      <c r="A87" s="401"/>
      <c r="B87" s="400"/>
      <c r="C87" s="400"/>
      <c r="D87" s="399"/>
      <c r="E87" s="399"/>
    </row>
    <row r="88" spans="1:5">
      <c r="A88" s="401"/>
      <c r="B88" s="400"/>
      <c r="C88" s="400"/>
      <c r="D88" s="399"/>
      <c r="E88" s="399"/>
    </row>
    <row r="89" spans="1:5">
      <c r="A89" s="401"/>
      <c r="B89" s="400"/>
      <c r="C89" s="400"/>
      <c r="D89" s="399"/>
      <c r="E89" s="399"/>
    </row>
    <row r="90" spans="1:5">
      <c r="A90" s="401"/>
      <c r="B90" s="400"/>
      <c r="C90" s="400"/>
      <c r="D90" s="399"/>
      <c r="E90" s="399"/>
    </row>
    <row r="91" spans="1:5">
      <c r="A91" s="401"/>
      <c r="B91" s="400"/>
      <c r="C91" s="400"/>
      <c r="D91" s="399"/>
      <c r="E91" s="399"/>
    </row>
    <row r="92" spans="1:5">
      <c r="A92" s="401"/>
      <c r="B92" s="400"/>
      <c r="C92" s="400"/>
      <c r="D92" s="399"/>
      <c r="E92" s="399"/>
    </row>
    <row r="93" spans="1:5">
      <c r="A93" s="401"/>
      <c r="B93" s="400"/>
      <c r="C93" s="400"/>
      <c r="D93" s="399"/>
      <c r="E93" s="399"/>
    </row>
    <row r="94" spans="1:5">
      <c r="A94" s="401"/>
      <c r="B94" s="400"/>
      <c r="C94" s="400"/>
      <c r="D94" s="399"/>
      <c r="E94" s="399"/>
    </row>
    <row r="95" spans="1:5">
      <c r="A95" s="401"/>
      <c r="B95" s="400"/>
      <c r="C95" s="400"/>
      <c r="D95" s="399"/>
      <c r="E95" s="399"/>
    </row>
    <row r="96" spans="1:5">
      <c r="A96" s="401"/>
      <c r="B96" s="400"/>
      <c r="C96" s="400"/>
      <c r="D96" s="399"/>
      <c r="E96" s="399"/>
    </row>
    <row r="97" spans="1:5">
      <c r="A97" s="401"/>
      <c r="B97" s="400"/>
      <c r="C97" s="400"/>
      <c r="D97" s="399"/>
      <c r="E97" s="399"/>
    </row>
    <row r="98" spans="1:5">
      <c r="A98" s="401"/>
      <c r="B98" s="400"/>
      <c r="C98" s="400"/>
      <c r="D98" s="399"/>
      <c r="E98" s="399"/>
    </row>
    <row r="99" spans="1:5">
      <c r="A99" s="401"/>
      <c r="B99" s="400"/>
      <c r="C99" s="400"/>
      <c r="D99" s="399"/>
      <c r="E99" s="399"/>
    </row>
    <row r="100" spans="1:5">
      <c r="A100" s="401"/>
      <c r="B100" s="400"/>
      <c r="C100" s="400"/>
      <c r="D100" s="399"/>
      <c r="E100" s="399"/>
    </row>
    <row r="101" spans="1:5">
      <c r="A101" s="354"/>
      <c r="B101" s="77"/>
      <c r="C101" s="77"/>
      <c r="D101" s="229"/>
      <c r="E101" s="229"/>
    </row>
    <row r="102" spans="1:5">
      <c r="A102" s="354"/>
      <c r="B102" s="77"/>
      <c r="C102" s="77"/>
      <c r="D102" s="229"/>
      <c r="E102" s="229"/>
    </row>
    <row r="103" spans="1:5">
      <c r="A103" s="354"/>
      <c r="B103" s="77"/>
      <c r="C103" s="77"/>
      <c r="D103" s="229"/>
      <c r="E103" s="229"/>
    </row>
    <row r="104" spans="1:5">
      <c r="A104" s="354"/>
      <c r="B104" s="77"/>
      <c r="C104" s="77"/>
      <c r="D104" s="229"/>
      <c r="E104" s="229"/>
    </row>
    <row r="105" spans="1:5">
      <c r="A105" s="354"/>
      <c r="B105" s="77"/>
      <c r="C105" s="77"/>
      <c r="D105" s="229"/>
      <c r="E105" s="229"/>
    </row>
    <row r="106" spans="1:5">
      <c r="A106" s="354"/>
      <c r="B106" s="77"/>
      <c r="C106" s="77"/>
      <c r="D106" s="229"/>
      <c r="E106" s="229"/>
    </row>
    <row r="107" spans="1:5">
      <c r="A107" s="354"/>
      <c r="B107" s="77"/>
      <c r="C107" s="77"/>
      <c r="D107" s="229"/>
      <c r="E107" s="229"/>
    </row>
    <row r="108" spans="1:5">
      <c r="A108" s="354"/>
      <c r="B108" s="77"/>
      <c r="C108" s="77"/>
      <c r="D108" s="229"/>
      <c r="E108" s="229"/>
    </row>
    <row r="109" spans="1:5">
      <c r="A109" s="354"/>
      <c r="B109" s="77"/>
      <c r="C109" s="77"/>
      <c r="D109" s="229"/>
      <c r="E109" s="229"/>
    </row>
    <row r="110" spans="1:5">
      <c r="A110" s="354"/>
      <c r="B110" s="77"/>
      <c r="C110" s="77"/>
      <c r="D110" s="229"/>
      <c r="E110" s="229"/>
    </row>
    <row r="111" spans="1:5">
      <c r="A111" s="354"/>
      <c r="B111" s="77"/>
      <c r="C111" s="77"/>
      <c r="D111" s="229"/>
      <c r="E111" s="229"/>
    </row>
  </sheetData>
  <autoFilter ref="A1:E100" xr:uid="{00000000-0009-0000-0000-000007000000}">
    <sortState xmlns:xlrd2="http://schemas.microsoft.com/office/spreadsheetml/2017/richdata2" ref="A2:E100">
      <sortCondition ref="D2:D102"/>
      <sortCondition ref="B2:B102"/>
      <sortCondition ref="A2:A102"/>
    </sortState>
  </autoFilter>
  <sortState xmlns:xlrd2="http://schemas.microsoft.com/office/spreadsheetml/2017/richdata2" ref="A2:E62">
    <sortCondition ref="D2:D62"/>
    <sortCondition ref="C2:C62"/>
  </sortState>
  <pageMargins left="0.7" right="0.7" top="0.75" bottom="0.75" header="0.3" footer="0.3"/>
  <pageSetup paperSize="9" orientation="portrait"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V48"/>
  <sheetViews>
    <sheetView workbookViewId="0">
      <pane ySplit="4" topLeftCell="A6" activePane="bottomLeft" state="frozen"/>
      <selection pane="bottomLeft" activeCell="G3" sqref="G3"/>
    </sheetView>
  </sheetViews>
  <sheetFormatPr defaultRowHeight="12.75"/>
  <cols>
    <col min="1" max="1" width="6.33203125" style="606" customWidth="1"/>
    <col min="2" max="2" width="18.86328125" style="4" customWidth="1"/>
    <col min="3" max="3" width="12.86328125" style="16" customWidth="1"/>
    <col min="4" max="4" width="13.73046875" style="16" customWidth="1"/>
    <col min="5" max="5" width="17.59765625" style="16" customWidth="1"/>
    <col min="6" max="7" width="20.59765625" customWidth="1"/>
    <col min="8" max="8" width="6.59765625" customWidth="1"/>
    <col min="9" max="9" width="20.59765625" customWidth="1"/>
    <col min="10" max="10" width="6.59765625" customWidth="1"/>
    <col min="11" max="11" width="20.59765625" customWidth="1"/>
    <col min="12" max="12" width="6.59765625" customWidth="1"/>
  </cols>
  <sheetData>
    <row r="1" spans="1:22">
      <c r="A1" s="604">
        <v>38</v>
      </c>
      <c r="B1" s="326">
        <v>2021</v>
      </c>
      <c r="C1" s="500" t="s">
        <v>510</v>
      </c>
      <c r="D1" s="500"/>
      <c r="E1" s="143"/>
      <c r="F1" s="143"/>
      <c r="G1" s="143"/>
      <c r="H1" s="143"/>
      <c r="I1" s="143"/>
      <c r="J1" s="143"/>
      <c r="K1" s="143"/>
      <c r="L1" s="143"/>
      <c r="M1" s="76"/>
      <c r="N1" s="76"/>
      <c r="O1" s="76"/>
      <c r="P1" s="76"/>
      <c r="Q1" s="76"/>
      <c r="R1" s="76"/>
      <c r="S1" s="76"/>
    </row>
    <row r="2" spans="1:22">
      <c r="A2" s="605"/>
      <c r="B2" s="77"/>
      <c r="C2" s="143"/>
      <c r="D2" s="143"/>
      <c r="E2" s="143"/>
      <c r="F2" s="143"/>
      <c r="G2" s="143"/>
      <c r="H2" s="143"/>
      <c r="I2" s="143"/>
      <c r="J2" s="143"/>
      <c r="K2" s="143"/>
      <c r="L2" s="143"/>
      <c r="M2" s="76"/>
      <c r="N2" s="76"/>
      <c r="O2" s="76"/>
      <c r="P2" s="76"/>
      <c r="Q2" s="76"/>
      <c r="R2" s="76"/>
      <c r="S2" s="76"/>
    </row>
    <row r="3" spans="1:22" ht="35.1" customHeight="1">
      <c r="A3" s="605"/>
      <c r="B3" s="731" t="str">
        <f>CONCATENATE(CurrentSeason," - ",SeasonTitle)</f>
        <v>PL43 - Spring 2024</v>
      </c>
      <c r="C3" s="732"/>
      <c r="D3" s="732"/>
      <c r="E3" s="732"/>
      <c r="F3" s="733"/>
      <c r="G3" s="142"/>
      <c r="H3" s="142"/>
      <c r="I3" s="142"/>
      <c r="J3" s="142"/>
      <c r="L3" s="142"/>
      <c r="M3" s="76"/>
      <c r="N3" s="76"/>
      <c r="O3" s="76"/>
      <c r="P3" s="76"/>
      <c r="Q3" s="76"/>
      <c r="R3" s="76"/>
    </row>
    <row r="4" spans="1:22" s="214" customFormat="1" ht="29.85" customHeight="1">
      <c r="A4" s="605"/>
      <c r="B4" s="513" t="s">
        <v>518</v>
      </c>
      <c r="C4" s="470" t="s">
        <v>484</v>
      </c>
      <c r="D4" s="470" t="s">
        <v>523</v>
      </c>
      <c r="E4" s="470" t="s">
        <v>524</v>
      </c>
      <c r="F4" s="471" t="s">
        <v>525</v>
      </c>
      <c r="G4" s="661" t="s">
        <v>552</v>
      </c>
      <c r="H4" s="661" t="s">
        <v>550</v>
      </c>
      <c r="I4" s="661" t="s">
        <v>549</v>
      </c>
      <c r="J4" s="661" t="s">
        <v>550</v>
      </c>
      <c r="K4" s="661" t="s">
        <v>553</v>
      </c>
      <c r="L4" s="661" t="s">
        <v>550</v>
      </c>
      <c r="M4" s="139"/>
      <c r="N4" s="139"/>
      <c r="O4" s="139"/>
      <c r="P4" s="139"/>
      <c r="Q4" s="139"/>
    </row>
    <row r="5" spans="1:22" ht="20.100000000000001" customHeight="1">
      <c r="A5" s="605"/>
      <c r="B5" s="634">
        <v>45297</v>
      </c>
      <c r="C5" s="635" t="s">
        <v>558</v>
      </c>
      <c r="D5" s="635"/>
      <c r="E5" s="636"/>
      <c r="F5" s="636"/>
      <c r="G5" s="660">
        <f>B5-12</f>
        <v>45285</v>
      </c>
      <c r="H5" s="660" t="s">
        <v>551</v>
      </c>
      <c r="I5" s="660">
        <f>B5-7</f>
        <v>45290</v>
      </c>
      <c r="J5" s="660" t="s">
        <v>551</v>
      </c>
      <c r="K5" s="660">
        <f>B5-5</f>
        <v>45292</v>
      </c>
      <c r="L5" s="660" t="s">
        <v>551</v>
      </c>
      <c r="M5" s="76"/>
      <c r="N5" s="76"/>
      <c r="O5" s="76"/>
      <c r="P5" s="76"/>
      <c r="Q5" s="76"/>
      <c r="V5" t="s">
        <v>443</v>
      </c>
    </row>
    <row r="6" spans="1:22" ht="20.100000000000001" customHeight="1">
      <c r="A6" s="605"/>
      <c r="B6" s="634">
        <v>45304</v>
      </c>
      <c r="C6" s="635" t="s">
        <v>559</v>
      </c>
      <c r="D6" s="635"/>
      <c r="E6" s="636" t="s">
        <v>519</v>
      </c>
      <c r="F6" s="636"/>
      <c r="G6" s="660">
        <f t="shared" ref="G6:G24" si="0">B6-12</f>
        <v>45292</v>
      </c>
      <c r="H6" s="660" t="s">
        <v>551</v>
      </c>
      <c r="I6" s="660">
        <f t="shared" ref="I6:I24" si="1">B6-7</f>
        <v>45297</v>
      </c>
      <c r="J6" s="660" t="s">
        <v>551</v>
      </c>
      <c r="K6" s="660">
        <f t="shared" ref="K6:K24" si="2">B6-5</f>
        <v>45299</v>
      </c>
      <c r="L6" s="660" t="s">
        <v>551</v>
      </c>
      <c r="M6" s="76"/>
      <c r="N6" s="76"/>
      <c r="O6" s="76"/>
      <c r="P6" s="76"/>
      <c r="Q6" s="76"/>
      <c r="V6" t="s">
        <v>431</v>
      </c>
    </row>
    <row r="7" spans="1:22" ht="20.100000000000001" customHeight="1">
      <c r="A7" s="605"/>
      <c r="B7" s="634">
        <v>45311</v>
      </c>
      <c r="C7" s="637" t="s">
        <v>560</v>
      </c>
      <c r="D7" s="637"/>
      <c r="E7" s="636" t="s">
        <v>520</v>
      </c>
      <c r="F7" s="636"/>
      <c r="G7" s="660">
        <f t="shared" si="0"/>
        <v>45299</v>
      </c>
      <c r="H7" s="660" t="s">
        <v>551</v>
      </c>
      <c r="I7" s="660">
        <f t="shared" si="1"/>
        <v>45304</v>
      </c>
      <c r="J7" s="660" t="s">
        <v>551</v>
      </c>
      <c r="K7" s="660">
        <f t="shared" si="2"/>
        <v>45306</v>
      </c>
      <c r="L7" s="660" t="s">
        <v>551</v>
      </c>
      <c r="M7" s="76"/>
      <c r="N7" s="76"/>
      <c r="O7" s="76"/>
      <c r="P7" s="76"/>
      <c r="Q7" s="76"/>
      <c r="V7" t="s">
        <v>432</v>
      </c>
    </row>
    <row r="8" spans="1:22" ht="20.100000000000001" customHeight="1">
      <c r="A8" s="605"/>
      <c r="B8" s="634">
        <v>45318</v>
      </c>
      <c r="C8" s="635" t="s">
        <v>561</v>
      </c>
      <c r="D8" s="635"/>
      <c r="E8" s="638" t="s">
        <v>562</v>
      </c>
      <c r="F8" s="636"/>
      <c r="G8" s="660">
        <f t="shared" si="0"/>
        <v>45306</v>
      </c>
      <c r="H8" s="660" t="s">
        <v>551</v>
      </c>
      <c r="I8" s="660">
        <f t="shared" si="1"/>
        <v>45311</v>
      </c>
      <c r="J8" s="660" t="s">
        <v>551</v>
      </c>
      <c r="K8" s="660">
        <f t="shared" si="2"/>
        <v>45313</v>
      </c>
      <c r="L8" s="660" t="s">
        <v>551</v>
      </c>
      <c r="M8" s="76"/>
      <c r="N8" s="76"/>
      <c r="O8" s="76"/>
      <c r="P8" s="76"/>
      <c r="Q8" s="76"/>
      <c r="V8" t="s">
        <v>455</v>
      </c>
    </row>
    <row r="9" spans="1:22" ht="20.100000000000001" customHeight="1">
      <c r="A9" s="605"/>
      <c r="B9" s="634">
        <v>45325</v>
      </c>
      <c r="C9" s="635" t="s">
        <v>535</v>
      </c>
      <c r="D9" s="635" t="s">
        <v>229</v>
      </c>
      <c r="E9" s="636" t="s">
        <v>132</v>
      </c>
      <c r="F9" s="636"/>
      <c r="G9" s="660">
        <f t="shared" si="0"/>
        <v>45313</v>
      </c>
      <c r="H9" s="660" t="s">
        <v>551</v>
      </c>
      <c r="I9" s="660">
        <f t="shared" si="1"/>
        <v>45318</v>
      </c>
      <c r="J9" s="660" t="s">
        <v>551</v>
      </c>
      <c r="K9" s="660">
        <f t="shared" si="2"/>
        <v>45320</v>
      </c>
      <c r="L9" s="660" t="s">
        <v>551</v>
      </c>
      <c r="M9" s="76"/>
      <c r="N9" s="76"/>
      <c r="O9" s="76"/>
      <c r="P9" s="76"/>
      <c r="Q9" s="76"/>
    </row>
    <row r="10" spans="1:22" ht="20.100000000000001" customHeight="1">
      <c r="A10" s="605"/>
      <c r="B10" s="634">
        <v>45325</v>
      </c>
      <c r="C10" s="635" t="s">
        <v>536</v>
      </c>
      <c r="D10" s="635" t="s">
        <v>229</v>
      </c>
      <c r="E10" s="636"/>
      <c r="F10" s="636"/>
      <c r="G10" s="660">
        <f t="shared" si="0"/>
        <v>45313</v>
      </c>
      <c r="H10" s="660" t="s">
        <v>551</v>
      </c>
      <c r="I10" s="660">
        <f t="shared" si="1"/>
        <v>45318</v>
      </c>
      <c r="J10" s="660" t="s">
        <v>551</v>
      </c>
      <c r="K10" s="660">
        <f t="shared" si="2"/>
        <v>45320</v>
      </c>
      <c r="L10" s="660" t="s">
        <v>551</v>
      </c>
      <c r="M10" s="76"/>
      <c r="N10" s="76"/>
      <c r="O10" s="76"/>
      <c r="P10" s="76"/>
      <c r="Q10" s="76"/>
    </row>
    <row r="11" spans="1:22" ht="20.100000000000001" customHeight="1">
      <c r="A11" s="605"/>
      <c r="B11" s="634">
        <v>45332</v>
      </c>
      <c r="C11" s="635" t="s">
        <v>537</v>
      </c>
      <c r="D11" s="635"/>
      <c r="E11" s="636" t="s">
        <v>133</v>
      </c>
      <c r="F11" s="636"/>
      <c r="G11" s="660">
        <f t="shared" si="0"/>
        <v>45320</v>
      </c>
      <c r="H11" s="660" t="s">
        <v>551</v>
      </c>
      <c r="I11" s="660">
        <f t="shared" si="1"/>
        <v>45325</v>
      </c>
      <c r="J11" s="660" t="s">
        <v>551</v>
      </c>
      <c r="K11" s="660">
        <f t="shared" si="2"/>
        <v>45327</v>
      </c>
      <c r="L11" s="660" t="s">
        <v>551</v>
      </c>
      <c r="M11" s="76"/>
      <c r="N11" s="76"/>
      <c r="O11" s="76"/>
      <c r="P11" s="76"/>
      <c r="Q11" s="76"/>
    </row>
    <row r="12" spans="1:22" ht="20.100000000000001" customHeight="1">
      <c r="A12" s="605"/>
      <c r="B12" s="634">
        <v>45339</v>
      </c>
      <c r="C12" s="635" t="s">
        <v>538</v>
      </c>
      <c r="D12" s="635"/>
      <c r="E12" s="636" t="s">
        <v>134</v>
      </c>
      <c r="F12" s="636"/>
      <c r="G12" s="660">
        <f t="shared" si="0"/>
        <v>45327</v>
      </c>
      <c r="H12" s="660" t="s">
        <v>551</v>
      </c>
      <c r="I12" s="660">
        <f t="shared" si="1"/>
        <v>45332</v>
      </c>
      <c r="J12" s="660" t="s">
        <v>551</v>
      </c>
      <c r="K12" s="660">
        <f t="shared" si="2"/>
        <v>45334</v>
      </c>
      <c r="L12" s="660" t="s">
        <v>551</v>
      </c>
      <c r="M12" s="76"/>
      <c r="N12" s="76"/>
      <c r="O12" s="76"/>
      <c r="P12" s="76"/>
      <c r="Q12" s="76"/>
    </row>
    <row r="13" spans="1:22" ht="20.100000000000001" customHeight="1">
      <c r="A13" s="605"/>
      <c r="B13" s="634">
        <v>45346</v>
      </c>
      <c r="C13" s="637" t="s">
        <v>539</v>
      </c>
      <c r="D13" s="637"/>
      <c r="E13" s="636"/>
      <c r="F13" s="636"/>
      <c r="G13" s="660">
        <f t="shared" si="0"/>
        <v>45334</v>
      </c>
      <c r="H13" s="660" t="s">
        <v>551</v>
      </c>
      <c r="I13" s="660">
        <f t="shared" si="1"/>
        <v>45339</v>
      </c>
      <c r="J13" s="660" t="s">
        <v>551</v>
      </c>
      <c r="K13" s="660">
        <f t="shared" si="2"/>
        <v>45341</v>
      </c>
      <c r="L13" s="660" t="s">
        <v>551</v>
      </c>
      <c r="M13" s="76"/>
      <c r="N13" s="76"/>
      <c r="O13" s="76"/>
      <c r="P13" s="76"/>
      <c r="Q13" s="76"/>
    </row>
    <row r="14" spans="1:22" ht="20.100000000000001" customHeight="1">
      <c r="A14" s="605"/>
      <c r="B14" s="634">
        <v>45353</v>
      </c>
      <c r="C14" s="635" t="s">
        <v>540</v>
      </c>
      <c r="D14" s="635"/>
      <c r="E14" s="636" t="s">
        <v>135</v>
      </c>
      <c r="F14" s="636"/>
      <c r="G14" s="660">
        <f t="shared" si="0"/>
        <v>45341</v>
      </c>
      <c r="H14" s="660" t="s">
        <v>551</v>
      </c>
      <c r="I14" s="660">
        <f t="shared" si="1"/>
        <v>45346</v>
      </c>
      <c r="J14" s="660" t="s">
        <v>551</v>
      </c>
      <c r="K14" s="660">
        <f t="shared" si="2"/>
        <v>45348</v>
      </c>
      <c r="L14" s="660" t="s">
        <v>551</v>
      </c>
      <c r="M14" s="76"/>
      <c r="N14" s="76"/>
      <c r="O14" s="76"/>
      <c r="P14" s="76"/>
      <c r="Q14" s="76"/>
    </row>
    <row r="15" spans="1:22" ht="20.100000000000001" customHeight="1">
      <c r="A15" s="605"/>
      <c r="B15" s="634">
        <v>45360</v>
      </c>
      <c r="C15" s="635" t="s">
        <v>541</v>
      </c>
      <c r="D15" s="635"/>
      <c r="E15" s="636" t="s">
        <v>136</v>
      </c>
      <c r="F15" s="636"/>
      <c r="G15" s="660">
        <f t="shared" si="0"/>
        <v>45348</v>
      </c>
      <c r="H15" s="660" t="s">
        <v>551</v>
      </c>
      <c r="I15" s="660">
        <f t="shared" si="1"/>
        <v>45353</v>
      </c>
      <c r="J15" s="660" t="s">
        <v>551</v>
      </c>
      <c r="K15" s="660">
        <f t="shared" si="2"/>
        <v>45355</v>
      </c>
      <c r="L15" s="660" t="s">
        <v>551</v>
      </c>
      <c r="M15" s="76"/>
      <c r="N15" s="76"/>
      <c r="O15" s="76"/>
      <c r="P15" s="76"/>
      <c r="Q15" s="76"/>
    </row>
    <row r="16" spans="1:22" ht="20.100000000000001" customHeight="1">
      <c r="A16" s="605"/>
      <c r="B16" s="634">
        <v>45367</v>
      </c>
      <c r="C16" s="635" t="s">
        <v>542</v>
      </c>
      <c r="D16" s="635" t="s">
        <v>229</v>
      </c>
      <c r="E16" s="636"/>
      <c r="F16" s="636"/>
      <c r="G16" s="660">
        <f t="shared" si="0"/>
        <v>45355</v>
      </c>
      <c r="H16" s="660" t="s">
        <v>551</v>
      </c>
      <c r="I16" s="660">
        <f t="shared" si="1"/>
        <v>45360</v>
      </c>
      <c r="J16" s="660" t="s">
        <v>551</v>
      </c>
      <c r="K16" s="660">
        <f t="shared" si="2"/>
        <v>45362</v>
      </c>
      <c r="L16" s="660" t="s">
        <v>551</v>
      </c>
      <c r="M16" s="76"/>
      <c r="N16" s="76"/>
      <c r="O16" s="76"/>
      <c r="P16" s="76"/>
      <c r="Q16" s="76"/>
    </row>
    <row r="17" spans="1:17" ht="20.100000000000001" customHeight="1">
      <c r="A17" s="605"/>
      <c r="B17" s="634">
        <v>45367</v>
      </c>
      <c r="C17" s="637" t="s">
        <v>543</v>
      </c>
      <c r="D17" s="637" t="s">
        <v>229</v>
      </c>
      <c r="E17" s="636"/>
      <c r="F17" s="636"/>
      <c r="G17" s="660">
        <f t="shared" si="0"/>
        <v>45355</v>
      </c>
      <c r="H17" s="660" t="s">
        <v>551</v>
      </c>
      <c r="I17" s="660">
        <f t="shared" si="1"/>
        <v>45360</v>
      </c>
      <c r="J17" s="660" t="s">
        <v>551</v>
      </c>
      <c r="K17" s="660">
        <f t="shared" si="2"/>
        <v>45362</v>
      </c>
      <c r="L17" s="660"/>
      <c r="M17" s="76"/>
      <c r="N17" s="76"/>
      <c r="O17" s="76"/>
      <c r="P17" s="76"/>
      <c r="Q17" s="76"/>
    </row>
    <row r="18" spans="1:17" ht="20.100000000000001" customHeight="1">
      <c r="A18" s="605"/>
      <c r="B18" s="634">
        <v>45374</v>
      </c>
      <c r="C18" s="635" t="s">
        <v>544</v>
      </c>
      <c r="D18" s="635"/>
      <c r="E18" s="636" t="s">
        <v>137</v>
      </c>
      <c r="F18" s="636"/>
      <c r="G18" s="660">
        <f t="shared" si="0"/>
        <v>45362</v>
      </c>
      <c r="H18" s="660" t="s">
        <v>551</v>
      </c>
      <c r="I18" s="660">
        <f t="shared" si="1"/>
        <v>45367</v>
      </c>
      <c r="J18" s="660"/>
      <c r="K18" s="660">
        <f t="shared" si="2"/>
        <v>45369</v>
      </c>
      <c r="L18" s="660"/>
      <c r="M18" s="76"/>
      <c r="N18" s="76"/>
      <c r="O18" s="76"/>
      <c r="P18" s="76"/>
      <c r="Q18" s="76"/>
    </row>
    <row r="19" spans="1:17" ht="20.100000000000001" customHeight="1">
      <c r="A19" s="605"/>
      <c r="B19" s="634">
        <v>45381</v>
      </c>
      <c r="C19" s="635" t="s">
        <v>545</v>
      </c>
      <c r="D19" s="635"/>
      <c r="E19" s="636" t="s">
        <v>138</v>
      </c>
      <c r="F19" s="636"/>
      <c r="G19" s="660">
        <f t="shared" si="0"/>
        <v>45369</v>
      </c>
      <c r="H19" s="660"/>
      <c r="I19" s="660">
        <f t="shared" si="1"/>
        <v>45374</v>
      </c>
      <c r="J19" s="660"/>
      <c r="K19" s="660">
        <f t="shared" si="2"/>
        <v>45376</v>
      </c>
      <c r="L19" s="660"/>
      <c r="M19" s="76"/>
      <c r="N19" s="76"/>
      <c r="O19" s="76"/>
      <c r="P19" s="76"/>
      <c r="Q19" s="76"/>
    </row>
    <row r="20" spans="1:17" ht="20.100000000000001" customHeight="1">
      <c r="A20" s="605"/>
      <c r="B20" s="634">
        <v>45388</v>
      </c>
      <c r="C20" s="635" t="s">
        <v>546</v>
      </c>
      <c r="D20" s="635"/>
      <c r="E20" s="636" t="s">
        <v>139</v>
      </c>
      <c r="F20" s="636"/>
      <c r="G20" s="660">
        <f t="shared" si="0"/>
        <v>45376</v>
      </c>
      <c r="H20" s="660"/>
      <c r="I20" s="660">
        <f t="shared" si="1"/>
        <v>45381</v>
      </c>
      <c r="J20" s="660"/>
      <c r="K20" s="660">
        <f t="shared" si="2"/>
        <v>45383</v>
      </c>
      <c r="L20" s="660"/>
      <c r="M20" s="76"/>
      <c r="N20" s="76"/>
      <c r="O20" s="76"/>
      <c r="P20" s="76"/>
      <c r="Q20" s="76"/>
    </row>
    <row r="21" spans="1:17" ht="20.100000000000001" customHeight="1">
      <c r="A21" s="605"/>
      <c r="B21" s="634">
        <v>45395</v>
      </c>
      <c r="C21" s="635" t="s">
        <v>521</v>
      </c>
      <c r="D21" s="635" t="s">
        <v>229</v>
      </c>
      <c r="E21" s="636" t="s">
        <v>140</v>
      </c>
      <c r="F21" s="636"/>
      <c r="G21" s="660">
        <f t="shared" si="0"/>
        <v>45383</v>
      </c>
      <c r="H21" s="660"/>
      <c r="I21" s="660">
        <f t="shared" si="1"/>
        <v>45388</v>
      </c>
      <c r="J21" s="660"/>
      <c r="K21" s="660">
        <f t="shared" si="2"/>
        <v>45390</v>
      </c>
      <c r="L21" s="660"/>
      <c r="M21" s="76"/>
      <c r="N21" s="76"/>
      <c r="O21" s="76"/>
      <c r="P21" s="76"/>
      <c r="Q21" s="76"/>
    </row>
    <row r="22" spans="1:17" ht="20.100000000000001" customHeight="1">
      <c r="A22" s="605"/>
      <c r="B22" s="634">
        <v>45395</v>
      </c>
      <c r="C22" s="635" t="s">
        <v>547</v>
      </c>
      <c r="D22" s="635" t="s">
        <v>229</v>
      </c>
      <c r="E22" s="636" t="s">
        <v>18</v>
      </c>
      <c r="F22" s="636"/>
      <c r="G22" s="660">
        <f t="shared" si="0"/>
        <v>45383</v>
      </c>
      <c r="H22" s="660"/>
      <c r="I22" s="660">
        <f t="shared" si="1"/>
        <v>45388</v>
      </c>
      <c r="J22" s="660"/>
      <c r="K22" s="660">
        <f t="shared" si="2"/>
        <v>45390</v>
      </c>
      <c r="L22" s="660"/>
      <c r="M22" s="76"/>
      <c r="N22" s="76"/>
      <c r="O22" s="76"/>
      <c r="P22" s="76"/>
      <c r="Q22" s="76"/>
    </row>
    <row r="23" spans="1:17" ht="20.100000000000001" customHeight="1">
      <c r="A23" s="605"/>
      <c r="B23" s="634">
        <v>45402</v>
      </c>
      <c r="C23" s="635" t="s">
        <v>548</v>
      </c>
      <c r="D23" s="635"/>
      <c r="E23" s="636" t="s">
        <v>141</v>
      </c>
      <c r="F23" s="636"/>
      <c r="G23" s="660">
        <f t="shared" si="0"/>
        <v>45390</v>
      </c>
      <c r="H23" s="660"/>
      <c r="I23" s="660">
        <f t="shared" si="1"/>
        <v>45395</v>
      </c>
      <c r="J23" s="660"/>
      <c r="K23" s="660">
        <f t="shared" si="2"/>
        <v>45397</v>
      </c>
      <c r="L23" s="660"/>
      <c r="M23" s="76"/>
      <c r="N23" s="76"/>
      <c r="O23" s="76"/>
      <c r="P23" s="76"/>
      <c r="Q23" s="76"/>
    </row>
    <row r="24" spans="1:17" ht="20.100000000000001" customHeight="1">
      <c r="A24" s="605"/>
      <c r="B24" s="634">
        <v>45409</v>
      </c>
      <c r="C24" s="635" t="s">
        <v>557</v>
      </c>
      <c r="D24" s="635"/>
      <c r="E24" s="636"/>
      <c r="F24" s="636"/>
      <c r="G24" s="660">
        <f t="shared" si="0"/>
        <v>45397</v>
      </c>
      <c r="H24" s="660"/>
      <c r="I24" s="660">
        <f t="shared" si="1"/>
        <v>45402</v>
      </c>
      <c r="J24" s="660"/>
      <c r="K24" s="660">
        <f t="shared" si="2"/>
        <v>45404</v>
      </c>
      <c r="L24" s="660"/>
      <c r="M24" s="76"/>
      <c r="N24" s="76"/>
      <c r="O24" s="76"/>
      <c r="P24" s="76"/>
      <c r="Q24" s="76"/>
    </row>
    <row r="25" spans="1:17" ht="20" customHeight="1">
      <c r="A25" s="605"/>
      <c r="B25" s="77"/>
      <c r="C25" s="143"/>
      <c r="D25" s="143"/>
      <c r="E25" s="621" t="s">
        <v>522</v>
      </c>
      <c r="F25" s="622" t="s">
        <v>516</v>
      </c>
      <c r="G25" s="662"/>
      <c r="H25" s="663"/>
      <c r="I25" s="663"/>
      <c r="J25" s="663"/>
      <c r="K25" s="663"/>
      <c r="L25" s="663"/>
      <c r="M25" s="76"/>
      <c r="N25" s="76"/>
      <c r="O25" s="76"/>
      <c r="P25" s="76"/>
      <c r="Q25" s="76"/>
    </row>
    <row r="26" spans="1:17">
      <c r="A26" s="605"/>
      <c r="B26" s="77"/>
      <c r="C26" s="143"/>
      <c r="D26" s="143"/>
      <c r="E26" s="143"/>
      <c r="F26" s="76"/>
      <c r="G26" s="76"/>
      <c r="H26" s="76"/>
      <c r="I26" s="76"/>
      <c r="J26" s="76"/>
      <c r="K26" s="76"/>
      <c r="L26" s="76"/>
      <c r="M26" s="76"/>
      <c r="N26" s="76"/>
      <c r="O26" s="76"/>
      <c r="P26" s="76"/>
      <c r="Q26" s="76"/>
    </row>
    <row r="27" spans="1:17">
      <c r="A27" s="605"/>
      <c r="B27" s="77"/>
      <c r="C27" s="143"/>
      <c r="D27" s="143"/>
      <c r="E27" s="143"/>
      <c r="F27" s="76"/>
      <c r="G27" s="76"/>
      <c r="H27" s="76"/>
      <c r="I27" s="76"/>
      <c r="J27" s="76"/>
      <c r="K27" s="76"/>
      <c r="L27" s="76"/>
      <c r="M27" s="76"/>
      <c r="N27" s="76"/>
      <c r="O27" s="76"/>
      <c r="P27" s="76"/>
      <c r="Q27" s="76"/>
    </row>
    <row r="28" spans="1:17">
      <c r="A28" s="605"/>
      <c r="B28" s="77"/>
      <c r="C28" s="143"/>
      <c r="D28" s="143"/>
      <c r="E28" s="143"/>
      <c r="F28" s="76"/>
      <c r="G28" s="76"/>
      <c r="H28" s="76"/>
      <c r="I28" s="76"/>
      <c r="J28" s="76"/>
      <c r="K28" s="76"/>
      <c r="L28" s="76"/>
      <c r="M28" s="76"/>
      <c r="N28" s="76"/>
      <c r="O28" s="76"/>
      <c r="P28" s="76"/>
      <c r="Q28" s="76"/>
    </row>
    <row r="29" spans="1:17">
      <c r="A29" s="605"/>
      <c r="B29" s="77"/>
      <c r="C29" s="143"/>
      <c r="D29" s="143"/>
      <c r="E29" s="143"/>
      <c r="F29" s="76"/>
      <c r="G29" s="76"/>
      <c r="H29" s="76"/>
      <c r="I29" s="76"/>
      <c r="J29" s="76"/>
      <c r="K29" s="76"/>
      <c r="L29" s="76"/>
      <c r="M29" s="76"/>
      <c r="N29" s="76"/>
      <c r="O29" s="76"/>
      <c r="P29" s="76"/>
      <c r="Q29" s="76"/>
    </row>
    <row r="30" spans="1:17">
      <c r="A30" s="605"/>
      <c r="B30" s="77"/>
      <c r="C30" s="143"/>
      <c r="D30" s="143"/>
      <c r="E30" s="143"/>
      <c r="F30" s="76"/>
      <c r="G30" s="76"/>
      <c r="H30" s="76"/>
      <c r="I30" s="76"/>
      <c r="J30" s="76"/>
      <c r="K30" s="76"/>
      <c r="L30" s="76"/>
      <c r="M30" s="76"/>
      <c r="N30" s="76"/>
      <c r="O30" s="76"/>
      <c r="P30" s="76"/>
      <c r="Q30" s="76"/>
    </row>
    <row r="31" spans="1:17">
      <c r="A31" s="605"/>
      <c r="B31" s="77"/>
      <c r="C31" s="143"/>
      <c r="D31" s="143"/>
      <c r="E31" s="143"/>
      <c r="F31" s="76"/>
      <c r="G31" s="76"/>
      <c r="H31" s="76"/>
      <c r="I31" s="76"/>
      <c r="J31" s="76"/>
      <c r="K31" s="76"/>
      <c r="L31" s="76"/>
      <c r="M31" s="76"/>
      <c r="N31" s="76"/>
      <c r="O31" s="76"/>
      <c r="P31" s="76"/>
      <c r="Q31" s="76"/>
    </row>
    <row r="32" spans="1:17">
      <c r="A32" s="605"/>
      <c r="B32" s="77"/>
      <c r="C32" s="143"/>
      <c r="D32" s="143"/>
      <c r="E32" s="143"/>
      <c r="F32" s="76"/>
      <c r="G32" s="76"/>
      <c r="H32" s="76"/>
      <c r="I32" s="76"/>
      <c r="J32" s="76"/>
      <c r="K32" s="76"/>
      <c r="L32" s="76"/>
      <c r="M32" s="76"/>
      <c r="N32" s="76"/>
      <c r="O32" s="76"/>
      <c r="P32" s="76"/>
      <c r="Q32" s="76"/>
    </row>
    <row r="33" spans="1:17">
      <c r="A33" s="605"/>
      <c r="B33" s="77"/>
      <c r="C33" s="143"/>
      <c r="D33" s="143"/>
      <c r="E33" s="143"/>
      <c r="F33" s="76"/>
      <c r="G33" s="76"/>
      <c r="H33" s="76"/>
      <c r="I33" s="76"/>
      <c r="J33" s="76"/>
      <c r="K33" s="76"/>
      <c r="L33" s="76"/>
      <c r="M33" s="76"/>
      <c r="N33" s="76"/>
      <c r="O33" s="76"/>
      <c r="P33" s="76"/>
      <c r="Q33" s="76"/>
    </row>
    <row r="34" spans="1:17">
      <c r="A34" s="605"/>
      <c r="B34" s="77"/>
      <c r="C34" s="143"/>
      <c r="D34" s="143"/>
      <c r="E34" s="143"/>
      <c r="F34" s="76"/>
      <c r="G34" s="76"/>
      <c r="H34" s="76"/>
      <c r="I34" s="76"/>
      <c r="J34" s="76"/>
      <c r="K34" s="76"/>
      <c r="L34" s="76"/>
      <c r="M34" s="76"/>
      <c r="N34" s="76"/>
      <c r="O34" s="76"/>
      <c r="P34" s="76"/>
      <c r="Q34" s="76"/>
    </row>
    <row r="35" spans="1:17">
      <c r="A35" s="605"/>
      <c r="B35" s="77"/>
      <c r="C35" s="143"/>
      <c r="D35" s="143"/>
      <c r="E35" s="143"/>
      <c r="F35" s="76"/>
      <c r="G35" s="76"/>
      <c r="H35" s="76"/>
      <c r="I35" s="76"/>
      <c r="J35" s="76"/>
      <c r="K35" s="76"/>
      <c r="L35" s="76"/>
      <c r="M35" s="76"/>
      <c r="N35" s="76"/>
      <c r="O35" s="76"/>
      <c r="P35" s="76"/>
      <c r="Q35" s="76"/>
    </row>
    <row r="36" spans="1:17">
      <c r="A36" s="605"/>
      <c r="B36" s="77"/>
      <c r="C36" s="143"/>
      <c r="D36" s="143"/>
      <c r="E36" s="143"/>
      <c r="F36" s="76"/>
      <c r="G36" s="76"/>
      <c r="H36" s="76"/>
      <c r="I36" s="76"/>
      <c r="J36" s="76"/>
      <c r="K36" s="76"/>
      <c r="L36" s="76"/>
      <c r="M36" s="76"/>
      <c r="N36" s="76"/>
      <c r="O36" s="76"/>
      <c r="P36" s="76"/>
      <c r="Q36" s="76"/>
    </row>
    <row r="37" spans="1:17">
      <c r="A37" s="605"/>
      <c r="B37" s="77"/>
      <c r="C37" s="143"/>
      <c r="D37" s="143"/>
      <c r="E37" s="143"/>
      <c r="F37" s="76"/>
      <c r="G37" s="76"/>
      <c r="H37" s="76"/>
      <c r="I37" s="76"/>
      <c r="J37" s="76"/>
      <c r="K37" s="76"/>
      <c r="L37" s="76"/>
      <c r="M37" s="76"/>
      <c r="N37" s="76"/>
      <c r="O37" s="76"/>
      <c r="P37" s="76"/>
      <c r="Q37" s="76"/>
    </row>
    <row r="38" spans="1:17">
      <c r="A38" s="605"/>
      <c r="B38" s="77"/>
      <c r="C38" s="143"/>
      <c r="D38" s="143"/>
      <c r="E38" s="143"/>
      <c r="F38" s="76"/>
      <c r="G38" s="76"/>
      <c r="H38" s="76"/>
      <c r="I38" s="76"/>
      <c r="J38" s="76"/>
      <c r="K38" s="76"/>
      <c r="L38" s="76"/>
      <c r="M38" s="76"/>
      <c r="N38" s="76"/>
      <c r="O38" s="76"/>
      <c r="P38" s="76"/>
      <c r="Q38" s="76"/>
    </row>
    <row r="39" spans="1:17">
      <c r="A39" s="605"/>
      <c r="B39" s="77"/>
      <c r="C39" s="143"/>
      <c r="D39" s="143"/>
      <c r="E39" s="143"/>
      <c r="F39" s="76"/>
      <c r="G39" s="76"/>
      <c r="H39" s="76"/>
      <c r="I39" s="76"/>
      <c r="J39" s="76"/>
      <c r="K39" s="76"/>
      <c r="L39" s="76"/>
      <c r="M39" s="76"/>
      <c r="N39" s="76"/>
      <c r="O39" s="76"/>
      <c r="P39" s="76"/>
      <c r="Q39" s="76"/>
    </row>
    <row r="40" spans="1:17">
      <c r="A40" s="605"/>
      <c r="B40" s="77"/>
      <c r="C40" s="143"/>
      <c r="D40" s="143"/>
      <c r="E40" s="143"/>
      <c r="F40" s="76"/>
      <c r="G40" s="76"/>
      <c r="H40" s="76"/>
      <c r="I40" s="76"/>
      <c r="J40" s="76"/>
      <c r="K40" s="76"/>
      <c r="L40" s="76"/>
      <c r="M40" s="76"/>
      <c r="N40" s="76"/>
      <c r="O40" s="76"/>
      <c r="P40" s="76"/>
      <c r="Q40" s="76"/>
    </row>
    <row r="41" spans="1:17">
      <c r="A41" s="605"/>
      <c r="B41" s="77"/>
      <c r="C41" s="143"/>
      <c r="D41" s="143"/>
      <c r="E41" s="143"/>
      <c r="F41" s="76"/>
      <c r="G41" s="76"/>
      <c r="H41" s="76"/>
      <c r="I41" s="76"/>
      <c r="J41" s="76"/>
      <c r="K41" s="76"/>
      <c r="L41" s="76"/>
      <c r="M41" s="76"/>
      <c r="N41" s="76"/>
      <c r="O41" s="76"/>
      <c r="P41" s="76"/>
      <c r="Q41" s="76"/>
    </row>
    <row r="42" spans="1:17">
      <c r="A42" s="605"/>
      <c r="B42" s="77"/>
      <c r="C42" s="143"/>
      <c r="D42" s="143"/>
      <c r="E42" s="143"/>
      <c r="F42" s="76"/>
      <c r="G42" s="76"/>
      <c r="H42" s="76"/>
      <c r="I42" s="76"/>
      <c r="J42" s="76"/>
      <c r="K42" s="76"/>
      <c r="L42" s="76"/>
      <c r="M42" s="76"/>
      <c r="N42" s="76"/>
      <c r="O42" s="76"/>
      <c r="P42" s="76"/>
      <c r="Q42" s="76"/>
    </row>
    <row r="43" spans="1:17">
      <c r="A43" s="605"/>
      <c r="B43" s="77"/>
      <c r="C43" s="143"/>
      <c r="D43" s="143"/>
      <c r="E43" s="143"/>
      <c r="F43" s="76"/>
      <c r="G43" s="76"/>
      <c r="H43" s="76"/>
      <c r="I43" s="76"/>
      <c r="J43" s="76"/>
      <c r="K43" s="76"/>
      <c r="L43" s="76"/>
      <c r="M43" s="76"/>
      <c r="N43" s="76"/>
      <c r="O43" s="76"/>
      <c r="P43" s="76"/>
      <c r="Q43" s="76"/>
    </row>
    <row r="44" spans="1:17">
      <c r="A44" s="605"/>
      <c r="B44" s="77"/>
      <c r="C44" s="143"/>
      <c r="D44" s="143"/>
      <c r="E44" s="143"/>
      <c r="F44" s="76"/>
      <c r="G44" s="76"/>
      <c r="H44" s="76"/>
      <c r="I44" s="76"/>
      <c r="J44" s="76"/>
      <c r="K44" s="76"/>
      <c r="L44" s="76"/>
      <c r="M44" s="76"/>
      <c r="N44" s="76"/>
      <c r="O44" s="76"/>
      <c r="P44" s="76"/>
      <c r="Q44" s="76"/>
    </row>
    <row r="45" spans="1:17">
      <c r="A45" s="605"/>
      <c r="B45" s="77"/>
      <c r="C45" s="143"/>
      <c r="D45" s="143"/>
      <c r="E45" s="143"/>
      <c r="F45" s="76"/>
      <c r="G45" s="76"/>
      <c r="H45" s="76"/>
      <c r="I45" s="76"/>
      <c r="J45" s="76"/>
      <c r="K45" s="76"/>
      <c r="L45" s="76"/>
      <c r="M45" s="76"/>
      <c r="N45" s="76"/>
      <c r="O45" s="76"/>
      <c r="P45" s="76"/>
      <c r="Q45" s="76"/>
    </row>
    <row r="46" spans="1:17">
      <c r="A46" s="605"/>
      <c r="B46" s="77"/>
      <c r="C46" s="143"/>
      <c r="D46" s="143"/>
      <c r="E46" s="143"/>
      <c r="F46" s="76"/>
      <c r="G46" s="76"/>
      <c r="H46" s="76"/>
      <c r="I46" s="76"/>
      <c r="J46" s="76"/>
      <c r="K46" s="76"/>
      <c r="L46" s="76"/>
      <c r="M46" s="76"/>
      <c r="N46" s="76"/>
      <c r="O46" s="76"/>
      <c r="P46" s="76"/>
      <c r="Q46" s="76"/>
    </row>
    <row r="47" spans="1:17">
      <c r="A47" s="605"/>
      <c r="B47" s="77"/>
      <c r="C47" s="143"/>
      <c r="D47" s="143"/>
      <c r="E47" s="143"/>
      <c r="F47" s="76"/>
      <c r="G47" s="76"/>
      <c r="H47" s="76"/>
      <c r="I47" s="76"/>
      <c r="J47" s="76"/>
      <c r="K47" s="76"/>
      <c r="L47" s="76"/>
      <c r="M47" s="76"/>
      <c r="N47" s="76"/>
      <c r="O47" s="76"/>
      <c r="P47" s="76"/>
      <c r="Q47" s="76"/>
    </row>
    <row r="48" spans="1:17">
      <c r="M48" s="76"/>
      <c r="N48" s="76"/>
      <c r="O48" s="76"/>
      <c r="P48" s="76"/>
      <c r="Q48" s="76"/>
    </row>
  </sheetData>
  <mergeCells count="1">
    <mergeCell ref="B3:F3"/>
  </mergeCells>
  <conditionalFormatting sqref="B5:B24">
    <cfRule type="expression" dxfId="1" priority="1">
      <formula>D5="D"</formula>
    </cfRule>
    <cfRule type="expression" dxfId="0" priority="2">
      <formula>D5="M"</formula>
    </cfRule>
  </conditionalFormatting>
  <pageMargins left="0.70866141732283472" right="0.70866141732283472" top="0.74803149606299213" bottom="0.74803149606299213" header="0.31496062992125984" footer="0.31496062992125984"/>
  <pageSetup paperSize="9" orientation="portrait" horizontalDpi="360"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22" zoomScaleNormal="100" workbookViewId="0">
      <selection activeCell="F47" sqref="F47"/>
    </sheetView>
  </sheetViews>
  <sheetFormatPr defaultRowHeight="12.75"/>
  <cols>
    <col min="1" max="1" width="9.06640625" style="4"/>
    <col min="2" max="2" width="12.59765625" style="15" customWidth="1"/>
    <col min="3" max="3" width="12.59765625" style="504" customWidth="1"/>
    <col min="4" max="4" width="14.86328125" customWidth="1"/>
    <col min="5" max="5" width="54.86328125" bestFit="1" customWidth="1"/>
    <col min="6" max="6" width="38" customWidth="1"/>
    <col min="7" max="7" width="20.265625" customWidth="1"/>
    <col min="8" max="8" width="10.86328125" style="1" customWidth="1"/>
    <col min="9" max="9" width="10.86328125" style="170"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71" customWidth="1"/>
  </cols>
  <sheetData>
    <row r="1" spans="1:19">
      <c r="A1" s="14" t="s">
        <v>488</v>
      </c>
      <c r="B1" s="90" t="s">
        <v>30</v>
      </c>
      <c r="C1" s="503"/>
      <c r="D1" s="58" t="s">
        <v>147</v>
      </c>
      <c r="E1" s="58" t="s">
        <v>31</v>
      </c>
      <c r="F1" s="8" t="s">
        <v>157</v>
      </c>
      <c r="G1" s="31" t="s">
        <v>48</v>
      </c>
      <c r="H1" s="34" t="s">
        <v>31</v>
      </c>
      <c r="I1" s="173" t="s">
        <v>55</v>
      </c>
      <c r="J1" s="34" t="s">
        <v>51</v>
      </c>
      <c r="K1" s="34" t="s">
        <v>489</v>
      </c>
      <c r="L1" t="s">
        <v>20</v>
      </c>
      <c r="M1" s="28" t="s">
        <v>22</v>
      </c>
      <c r="N1" t="s">
        <v>21</v>
      </c>
      <c r="O1" t="s">
        <v>23</v>
      </c>
      <c r="P1" t="s">
        <v>24</v>
      </c>
      <c r="Q1" s="172" t="s">
        <v>190</v>
      </c>
      <c r="R1" s="172" t="s">
        <v>189</v>
      </c>
      <c r="S1" s="172" t="s">
        <v>191</v>
      </c>
    </row>
    <row r="2" spans="1:19">
      <c r="A2" s="4">
        <v>1</v>
      </c>
      <c r="B2" s="90">
        <f>IF(Match!B2="","",Match!B2)</f>
        <v>45380</v>
      </c>
      <c r="C2" s="503">
        <f>IF(B2="","",WEEKDAY(B2))</f>
        <v>6</v>
      </c>
      <c r="D2" s="59" t="str">
        <f>IF(Match!D2="","",Match!D2)</f>
        <v>Champ</v>
      </c>
      <c r="E2" s="58" t="str">
        <f>IF(Match!U2="","",Match!U2)</f>
        <v>Blackburn  v  Ipswich   14/5  27/10  17/20</v>
      </c>
      <c r="F2" s="58" t="str">
        <f>IF(Match!V2="","",Match!V2)</f>
        <v xml:space="preserve">Blackburn 0-1 Ipswich </v>
      </c>
      <c r="G2" s="32" t="str">
        <f t="shared" ref="G2:G32" si="0">IF(E2="","",L2)</f>
        <v>Blackburn</v>
      </c>
      <c r="H2" s="33" t="str">
        <f t="shared" ref="H2:H45" si="1">IF(E2="","",M2)</f>
        <v>14/5</v>
      </c>
      <c r="I2" s="174">
        <f>IF(E2="","",Q2)</f>
        <v>3.8</v>
      </c>
      <c r="J2" s="33">
        <f>INDEX(Picks!T:T,MATCH(G2,Picks!R:R,0))</f>
        <v>0</v>
      </c>
      <c r="K2" s="33">
        <f>IF(INDEX(Match!P:P,MATCH(A2,Match!A:A,0))="OFF",0,1)</f>
        <v>1</v>
      </c>
      <c r="L2" t="str">
        <f>INDEX(Match!Q:Q,MATCH(E2,Match!U:U,0))</f>
        <v>Blackburn</v>
      </c>
      <c r="M2" t="str">
        <f>INDEX(Match!X:X,MATCH(E2,Match!U:U,0))</f>
        <v>14/5</v>
      </c>
      <c r="N2" t="str">
        <f>INDEX(Match!R:R,MATCH(E2,Match!U:U,0))</f>
        <v>Ipswich</v>
      </c>
      <c r="O2" t="str">
        <f>INDEX(Match!Y:Y,MATCH(E2,Match!U:U,0))</f>
        <v>27/10</v>
      </c>
      <c r="P2" t="str">
        <f>INDEX(Match!Z:Z,MATCH(E2,Match!U:U,0))</f>
        <v>17/20</v>
      </c>
      <c r="Q2" s="171">
        <f>INDEX(Match!AA:AA,MATCH(E2,Match!U:U,0))</f>
        <v>3.8</v>
      </c>
      <c r="R2" s="171">
        <f>INDEX(Match!AB:AB,MATCH(E2,Match!U:U,0))</f>
        <v>3.7</v>
      </c>
      <c r="S2" s="171">
        <f>INDEX(Match!AC:AC,MATCH(E2,Match!U:U,0))</f>
        <v>1.85</v>
      </c>
    </row>
    <row r="3" spans="1:19">
      <c r="A3" s="4">
        <v>2</v>
      </c>
      <c r="B3" s="90">
        <f>IF(Match!B3="","",Match!B3)</f>
        <v>45380</v>
      </c>
      <c r="C3" s="503">
        <f t="shared" ref="C3:C66" si="2">IF(B3="","",WEEKDAY(B3))</f>
        <v>6</v>
      </c>
      <c r="D3" s="59" t="str">
        <f>IF(Match!D3="","",Match!D3)</f>
        <v>Champ</v>
      </c>
      <c r="E3" s="58" t="str">
        <f>IF(Match!U3="","",Match!U3)</f>
        <v>Bristol C  v  Leicester   17/5  5/2  4/5</v>
      </c>
      <c r="F3" s="58" t="str">
        <f>IF(Match!V3="","",Match!V3)</f>
        <v xml:space="preserve">Bristol C 1-0 Leicester </v>
      </c>
      <c r="G3" s="32" t="str">
        <f t="shared" si="0"/>
        <v>Bristol C</v>
      </c>
      <c r="H3" s="33" t="str">
        <f t="shared" si="1"/>
        <v>17/5</v>
      </c>
      <c r="I3" s="174">
        <f t="shared" ref="I3:I47" si="3">IF(E3="","",Q3)</f>
        <v>4.4000000000000004</v>
      </c>
      <c r="J3" s="33">
        <f>INDEX(Picks!T:T,MATCH(G3,Picks!R:R,0))</f>
        <v>1</v>
      </c>
      <c r="K3" s="33">
        <f>IF(INDEX(Match!P:P,MATCH(A3,Match!A:A,0))="OFF",0,1)</f>
        <v>1</v>
      </c>
      <c r="L3" t="str">
        <f>INDEX(Match!Q:Q,MATCH(E3,Match!U:U,0))</f>
        <v>Bristol C</v>
      </c>
      <c r="M3" t="str">
        <f>INDEX(Match!X:X,MATCH(E3,Match!U:U,0))</f>
        <v>17/5</v>
      </c>
      <c r="N3" t="str">
        <f>INDEX(Match!R:R,MATCH(E3,Match!U:U,0))</f>
        <v>Leicester</v>
      </c>
      <c r="O3" t="str">
        <f>INDEX(Match!Y:Y,MATCH(E3,Match!U:U,0))</f>
        <v>5/2</v>
      </c>
      <c r="P3" t="str">
        <f>INDEX(Match!Z:Z,MATCH(E3,Match!U:U,0))</f>
        <v>4/5</v>
      </c>
      <c r="Q3" s="171">
        <f>INDEX(Match!AA:AA,MATCH(E3,Match!U:U,0))</f>
        <v>4.4000000000000004</v>
      </c>
      <c r="R3" s="171">
        <f>INDEX(Match!AB:AB,MATCH(E3,Match!U:U,0))</f>
        <v>3.5</v>
      </c>
      <c r="S3" s="171">
        <f>INDEX(Match!AC:AC,MATCH(E3,Match!U:U,0))</f>
        <v>1.8</v>
      </c>
    </row>
    <row r="4" spans="1:19">
      <c r="A4" s="4">
        <v>3</v>
      </c>
      <c r="B4" s="90">
        <f>IF(Match!B4="","",Match!B4)</f>
        <v>45380</v>
      </c>
      <c r="C4" s="503">
        <f t="shared" si="2"/>
        <v>6</v>
      </c>
      <c r="D4" s="59" t="str">
        <f>IF(Match!D4="","",Match!D4)</f>
        <v>Champ</v>
      </c>
      <c r="E4" s="58" t="str">
        <f>IF(Match!U4="","",Match!U4)</f>
        <v>Cardiff  v  Sunderland   8/5  21/10  7/4</v>
      </c>
      <c r="F4" s="58" t="str">
        <f>IF(Match!V4="","",Match!V4)</f>
        <v xml:space="preserve">Cardiff 0-2 Sunderland </v>
      </c>
      <c r="G4" s="32" t="str">
        <f t="shared" si="0"/>
        <v>Cardiff</v>
      </c>
      <c r="H4" s="33" t="str">
        <f t="shared" si="1"/>
        <v>8/5</v>
      </c>
      <c r="I4" s="174">
        <f t="shared" si="3"/>
        <v>2.6</v>
      </c>
      <c r="J4" s="33">
        <f>INDEX(Picks!T:T,MATCH(G4,Picks!R:R,0))</f>
        <v>0</v>
      </c>
      <c r="K4" s="33">
        <f>IF(INDEX(Match!P:P,MATCH(A4,Match!A:A,0))="OFF",0,1)</f>
        <v>1</v>
      </c>
      <c r="L4" t="str">
        <f>INDEX(Match!Q:Q,MATCH(E4,Match!U:U,0))</f>
        <v>Cardiff</v>
      </c>
      <c r="M4" t="str">
        <f>INDEX(Match!X:X,MATCH(E4,Match!U:U,0))</f>
        <v>8/5</v>
      </c>
      <c r="N4" t="str">
        <f>INDEX(Match!R:R,MATCH(E4,Match!U:U,0))</f>
        <v>Sunderland</v>
      </c>
      <c r="O4" t="str">
        <f>INDEX(Match!Y:Y,MATCH(E4,Match!U:U,0))</f>
        <v>21/10</v>
      </c>
      <c r="P4" t="str">
        <f>INDEX(Match!Z:Z,MATCH(E4,Match!U:U,0))</f>
        <v>7/4</v>
      </c>
      <c r="Q4" s="171">
        <f>INDEX(Match!AA:AA,MATCH(E4,Match!U:U,0))</f>
        <v>2.6</v>
      </c>
      <c r="R4" s="171">
        <f>INDEX(Match!AB:AB,MATCH(E4,Match!U:U,0))</f>
        <v>3.1</v>
      </c>
      <c r="S4" s="171">
        <f>INDEX(Match!AC:AC,MATCH(E4,Match!U:U,0))</f>
        <v>2.75</v>
      </c>
    </row>
    <row r="5" spans="1:19">
      <c r="A5" s="4">
        <v>4</v>
      </c>
      <c r="B5" s="90">
        <f>IF(Match!B5="","",Match!B5)</f>
        <v>45380</v>
      </c>
      <c r="C5" s="503">
        <f t="shared" si="2"/>
        <v>6</v>
      </c>
      <c r="D5" s="59" t="str">
        <f>IF(Match!D5="","",Match!D5)</f>
        <v>Champ</v>
      </c>
      <c r="E5" s="58" t="str">
        <f>IF(Match!U5="","",Match!U5)</f>
        <v>Huddersfield  v  Coventry   19/10  23/10  11/8</v>
      </c>
      <c r="F5" s="58" t="str">
        <f>IF(Match!V5="","",Match!V5)</f>
        <v xml:space="preserve">Huddersfield 1-3 Coventry </v>
      </c>
      <c r="G5" s="32" t="str">
        <f t="shared" si="0"/>
        <v>Huddersfield</v>
      </c>
      <c r="H5" s="33" t="str">
        <f t="shared" si="1"/>
        <v>19/10</v>
      </c>
      <c r="I5" s="174">
        <f t="shared" si="3"/>
        <v>2.9</v>
      </c>
      <c r="J5" s="33">
        <f>INDEX(Picks!T:T,MATCH(G5,Picks!R:R,0))</f>
        <v>0</v>
      </c>
      <c r="K5" s="33">
        <f>IF(INDEX(Match!P:P,MATCH(A5,Match!A:A,0))="OFF",0,1)</f>
        <v>1</v>
      </c>
      <c r="L5" t="str">
        <f>INDEX(Match!Q:Q,MATCH(E5,Match!U:U,0))</f>
        <v>Huddersfield</v>
      </c>
      <c r="M5" t="str">
        <f>INDEX(Match!X:X,MATCH(E5,Match!U:U,0))</f>
        <v>19/10</v>
      </c>
      <c r="N5" t="str">
        <f>INDEX(Match!R:R,MATCH(E5,Match!U:U,0))</f>
        <v>Coventry</v>
      </c>
      <c r="O5" t="str">
        <f>INDEX(Match!Y:Y,MATCH(E5,Match!U:U,0))</f>
        <v>23/10</v>
      </c>
      <c r="P5" t="str">
        <f>INDEX(Match!Z:Z,MATCH(E5,Match!U:U,0))</f>
        <v>11/8</v>
      </c>
      <c r="Q5" s="171">
        <f>INDEX(Match!AA:AA,MATCH(E5,Match!U:U,0))</f>
        <v>2.9</v>
      </c>
      <c r="R5" s="171">
        <f>INDEX(Match!AB:AB,MATCH(E5,Match!U:U,0))</f>
        <v>3.3</v>
      </c>
      <c r="S5" s="171">
        <f>INDEX(Match!AC:AC,MATCH(E5,Match!U:U,0))</f>
        <v>2.375</v>
      </c>
    </row>
    <row r="6" spans="1:19">
      <c r="A6" s="4">
        <v>5</v>
      </c>
      <c r="B6" s="90">
        <f>IF(Match!B6="","",Match!B6)</f>
        <v>45380</v>
      </c>
      <c r="C6" s="503">
        <f t="shared" si="2"/>
        <v>6</v>
      </c>
      <c r="D6" s="59" t="str">
        <f>IF(Match!D6="","",Match!D6)</f>
        <v>Champ</v>
      </c>
      <c r="E6" s="58" t="str">
        <f>IF(Match!U6="","",Match!U6)</f>
        <v>Hull  v  Stoke   10/11  12/5  29/10</v>
      </c>
      <c r="F6" s="58" t="str">
        <f>IF(Match!V6="","",Match!V6)</f>
        <v xml:space="preserve">Hull 0-2 Stoke </v>
      </c>
      <c r="G6" s="32" t="str">
        <f t="shared" si="0"/>
        <v>Hull</v>
      </c>
      <c r="H6" s="33" t="str">
        <f t="shared" si="1"/>
        <v>10/11</v>
      </c>
      <c r="I6" s="174">
        <f t="shared" si="3"/>
        <v>1.9090909090909092</v>
      </c>
      <c r="J6" s="33">
        <f>INDEX(Picks!T:T,MATCH(G6,Picks!R:R,0))</f>
        <v>0</v>
      </c>
      <c r="K6" s="33">
        <f>IF(INDEX(Match!P:P,MATCH(A6,Match!A:A,0))="OFF",0,1)</f>
        <v>1</v>
      </c>
      <c r="L6" t="str">
        <f>INDEX(Match!Q:Q,MATCH(E6,Match!U:U,0))</f>
        <v>Hull</v>
      </c>
      <c r="M6" t="str">
        <f>INDEX(Match!X:X,MATCH(E6,Match!U:U,0))</f>
        <v>10/11</v>
      </c>
      <c r="N6" t="str">
        <f>INDEX(Match!R:R,MATCH(E6,Match!U:U,0))</f>
        <v>Stoke</v>
      </c>
      <c r="O6" t="str">
        <f>INDEX(Match!Y:Y,MATCH(E6,Match!U:U,0))</f>
        <v>12/5</v>
      </c>
      <c r="P6" t="str">
        <f>INDEX(Match!Z:Z,MATCH(E6,Match!U:U,0))</f>
        <v>29/10</v>
      </c>
      <c r="Q6" s="171">
        <f>INDEX(Match!AA:AA,MATCH(E6,Match!U:U,0))</f>
        <v>1.9090909090909092</v>
      </c>
      <c r="R6" s="171">
        <f>INDEX(Match!AB:AB,MATCH(E6,Match!U:U,0))</f>
        <v>3.4</v>
      </c>
      <c r="S6" s="171">
        <f>INDEX(Match!AC:AC,MATCH(E6,Match!U:U,0))</f>
        <v>3.9</v>
      </c>
    </row>
    <row r="7" spans="1:19">
      <c r="A7" s="4">
        <v>6</v>
      </c>
      <c r="B7" s="90">
        <f>IF(Match!B7="","",Match!B7)</f>
        <v>45380</v>
      </c>
      <c r="C7" s="503">
        <f t="shared" si="2"/>
        <v>6</v>
      </c>
      <c r="D7" s="59" t="str">
        <f>IF(Match!D7="","",Match!D7)</f>
        <v>Champ</v>
      </c>
      <c r="E7" s="58" t="str">
        <f>IF(Match!U7="","",Match!U7)</f>
        <v>Millwall  v  West Brom   11/5  2/1  11/8</v>
      </c>
      <c r="F7" s="58" t="str">
        <f>IF(Match!V7="","",Match!V7)</f>
        <v xml:space="preserve">Millwall 1-1 West Brom </v>
      </c>
      <c r="G7" s="32" t="str">
        <f t="shared" si="0"/>
        <v>Millwall</v>
      </c>
      <c r="H7" s="33" t="str">
        <f t="shared" si="1"/>
        <v>11/5</v>
      </c>
      <c r="I7" s="174">
        <f t="shared" si="3"/>
        <v>3.2</v>
      </c>
      <c r="J7" s="33">
        <f>INDEX(Picks!T:T,MATCH(G7,Picks!R:R,0))</f>
        <v>0</v>
      </c>
      <c r="K7" s="33">
        <f>IF(INDEX(Match!P:P,MATCH(A7,Match!A:A,0))="OFF",0,1)</f>
        <v>1</v>
      </c>
      <c r="L7" t="str">
        <f>INDEX(Match!Q:Q,MATCH(E7,Match!U:U,0))</f>
        <v>Millwall</v>
      </c>
      <c r="M7" t="str">
        <f>INDEX(Match!X:X,MATCH(E7,Match!U:U,0))</f>
        <v>11/5</v>
      </c>
      <c r="N7" t="str">
        <f>INDEX(Match!R:R,MATCH(E7,Match!U:U,0))</f>
        <v>West Brom</v>
      </c>
      <c r="O7" t="str">
        <f>INDEX(Match!Y:Y,MATCH(E7,Match!U:U,0))</f>
        <v>2/1</v>
      </c>
      <c r="P7" t="str">
        <f>INDEX(Match!Z:Z,MATCH(E7,Match!U:U,0))</f>
        <v>11/8</v>
      </c>
      <c r="Q7" s="171">
        <f>INDEX(Match!AA:AA,MATCH(E7,Match!U:U,0))</f>
        <v>3.2</v>
      </c>
      <c r="R7" s="171">
        <f>INDEX(Match!AB:AB,MATCH(E7,Match!U:U,0))</f>
        <v>3</v>
      </c>
      <c r="S7" s="171">
        <f>INDEX(Match!AC:AC,MATCH(E7,Match!U:U,0))</f>
        <v>2.375</v>
      </c>
    </row>
    <row r="8" spans="1:19">
      <c r="A8" s="4">
        <v>7</v>
      </c>
      <c r="B8" s="90">
        <f>IF(Match!B8="","",Match!B8)</f>
        <v>45380</v>
      </c>
      <c r="C8" s="503">
        <f t="shared" si="2"/>
        <v>6</v>
      </c>
      <c r="D8" s="59" t="str">
        <f>IF(Match!D8="","",Match!D8)</f>
        <v>Champ</v>
      </c>
      <c r="E8" s="58" t="str">
        <f>IF(Match!U8="","",Match!U8)</f>
        <v>Norwich  v  Plymouth   1/2  10/3  5/1</v>
      </c>
      <c r="F8" s="58" t="str">
        <f>IF(Match!V8="","",Match!V8)</f>
        <v xml:space="preserve">Norwich 2-1 Plymouth </v>
      </c>
      <c r="G8" s="32" t="str">
        <f t="shared" si="0"/>
        <v>Norwich</v>
      </c>
      <c r="H8" s="33" t="str">
        <f t="shared" si="1"/>
        <v>1/2</v>
      </c>
      <c r="I8" s="174">
        <f t="shared" si="3"/>
        <v>1.5</v>
      </c>
      <c r="J8" s="33">
        <f>INDEX(Picks!T:T,MATCH(G8,Picks!R:R,0))</f>
        <v>1</v>
      </c>
      <c r="K8" s="33">
        <f>IF(INDEX(Match!P:P,MATCH(A8,Match!A:A,0))="OFF",0,1)</f>
        <v>1</v>
      </c>
      <c r="L8" t="str">
        <f>INDEX(Match!Q:Q,MATCH(E8,Match!U:U,0))</f>
        <v>Norwich</v>
      </c>
      <c r="M8" t="str">
        <f>INDEX(Match!X:X,MATCH(E8,Match!U:U,0))</f>
        <v>1/2</v>
      </c>
      <c r="N8" t="str">
        <f>INDEX(Match!R:R,MATCH(E8,Match!U:U,0))</f>
        <v>Plymouth</v>
      </c>
      <c r="O8" t="str">
        <f>INDEX(Match!Y:Y,MATCH(E8,Match!U:U,0))</f>
        <v>10/3</v>
      </c>
      <c r="P8" t="str">
        <f>INDEX(Match!Z:Z,MATCH(E8,Match!U:U,0))</f>
        <v>5/1</v>
      </c>
      <c r="Q8" s="171">
        <f>INDEX(Match!AA:AA,MATCH(E8,Match!U:U,0))</f>
        <v>1.5</v>
      </c>
      <c r="R8" s="171">
        <f>INDEX(Match!AB:AB,MATCH(E8,Match!U:U,0))</f>
        <v>4.3333333333333339</v>
      </c>
      <c r="S8" s="171">
        <f>INDEX(Match!AC:AC,MATCH(E8,Match!U:U,0))</f>
        <v>6</v>
      </c>
    </row>
    <row r="9" spans="1:19">
      <c r="A9" s="4">
        <v>8</v>
      </c>
      <c r="B9" s="90">
        <f>IF(Match!B9="","",Match!B9)</f>
        <v>45380</v>
      </c>
      <c r="C9" s="503">
        <f t="shared" si="2"/>
        <v>6</v>
      </c>
      <c r="D9" s="59" t="str">
        <f>IF(Match!D9="","",Match!D9)</f>
        <v>Champ</v>
      </c>
      <c r="E9" s="58" t="str">
        <f>IF(Match!U9="","",Match!U9)</f>
        <v>Preston  v  Rotherham   8/15  29/10  11/2</v>
      </c>
      <c r="F9" s="58" t="str">
        <f>IF(Match!V9="","",Match!V9)</f>
        <v xml:space="preserve">Preston 3-0 Rotherham </v>
      </c>
      <c r="G9" s="32" t="str">
        <f t="shared" si="0"/>
        <v>Preston</v>
      </c>
      <c r="H9" s="33" t="str">
        <f t="shared" si="1"/>
        <v>8/15</v>
      </c>
      <c r="I9" s="174">
        <f t="shared" si="3"/>
        <v>1.5333333333333332</v>
      </c>
      <c r="J9" s="33">
        <f>INDEX(Picks!T:T,MATCH(G9,Picks!R:R,0))</f>
        <v>1</v>
      </c>
      <c r="K9" s="33">
        <f>IF(INDEX(Match!P:P,MATCH(A9,Match!A:A,0))="OFF",0,1)</f>
        <v>1</v>
      </c>
      <c r="L9" t="str">
        <f>INDEX(Match!Q:Q,MATCH(E9,Match!U:U,0))</f>
        <v>Preston</v>
      </c>
      <c r="M9" t="str">
        <f>INDEX(Match!X:X,MATCH(E9,Match!U:U,0))</f>
        <v>8/15</v>
      </c>
      <c r="N9" t="str">
        <f>INDEX(Match!R:R,MATCH(E9,Match!U:U,0))</f>
        <v>Rotherham</v>
      </c>
      <c r="O9" t="str">
        <f>INDEX(Match!Y:Y,MATCH(E9,Match!U:U,0))</f>
        <v>29/10</v>
      </c>
      <c r="P9" t="str">
        <f>INDEX(Match!Z:Z,MATCH(E9,Match!U:U,0))</f>
        <v>11/2</v>
      </c>
      <c r="Q9" s="171">
        <f>INDEX(Match!AA:AA,MATCH(E9,Match!U:U,0))</f>
        <v>1.5333333333333332</v>
      </c>
      <c r="R9" s="171">
        <f>INDEX(Match!AB:AB,MATCH(E9,Match!U:U,0))</f>
        <v>3.9</v>
      </c>
      <c r="S9" s="171">
        <f>INDEX(Match!AC:AC,MATCH(E9,Match!U:U,0))</f>
        <v>6.5</v>
      </c>
    </row>
    <row r="10" spans="1:19">
      <c r="A10" s="4">
        <v>9</v>
      </c>
      <c r="B10" s="90">
        <f>IF(Match!B10="","",Match!B10)</f>
        <v>45380</v>
      </c>
      <c r="C10" s="503">
        <f t="shared" si="2"/>
        <v>6</v>
      </c>
      <c r="D10" s="59" t="str">
        <f>IF(Match!D10="","",Match!D10)</f>
        <v>Champ</v>
      </c>
      <c r="E10" s="58" t="str">
        <f>IF(Match!U10="","",Match!U10)</f>
        <v>QPR  v  Birmingham   1/1  9/4  11/4</v>
      </c>
      <c r="F10" s="58" t="str">
        <f>IF(Match!V10="","",Match!V10)</f>
        <v xml:space="preserve">QPR 2-1 Birmingham </v>
      </c>
      <c r="G10" s="32" t="str">
        <f t="shared" si="0"/>
        <v>QPR</v>
      </c>
      <c r="H10" s="33" t="str">
        <f t="shared" si="1"/>
        <v>1/1</v>
      </c>
      <c r="I10" s="174">
        <f t="shared" si="3"/>
        <v>2</v>
      </c>
      <c r="J10" s="33">
        <f>INDEX(Picks!T:T,MATCH(G10,Picks!R:R,0))</f>
        <v>1</v>
      </c>
      <c r="K10" s="33">
        <f>IF(INDEX(Match!P:P,MATCH(A10,Match!A:A,0))="OFF",0,1)</f>
        <v>1</v>
      </c>
      <c r="L10" t="str">
        <f>INDEX(Match!Q:Q,MATCH(E10,Match!U:U,0))</f>
        <v>QPR</v>
      </c>
      <c r="M10" t="str">
        <f>INDEX(Match!X:X,MATCH(E10,Match!U:U,0))</f>
        <v>1/1</v>
      </c>
      <c r="N10" t="str">
        <f>INDEX(Match!R:R,MATCH(E10,Match!U:U,0))</f>
        <v>Birmingham</v>
      </c>
      <c r="O10" t="str">
        <f>INDEX(Match!Y:Y,MATCH(E10,Match!U:U,0))</f>
        <v>9/4</v>
      </c>
      <c r="P10" t="str">
        <f>INDEX(Match!Z:Z,MATCH(E10,Match!U:U,0))</f>
        <v>11/4</v>
      </c>
      <c r="Q10" s="171">
        <f>INDEX(Match!AA:AA,MATCH(E10,Match!U:U,0))</f>
        <v>2</v>
      </c>
      <c r="R10" s="171">
        <f>INDEX(Match!AB:AB,MATCH(E10,Match!U:U,0))</f>
        <v>3.25</v>
      </c>
      <c r="S10" s="171">
        <f>INDEX(Match!AC:AC,MATCH(E10,Match!U:U,0))</f>
        <v>3.75</v>
      </c>
    </row>
    <row r="11" spans="1:19">
      <c r="A11" s="4">
        <v>10</v>
      </c>
      <c r="B11" s="90">
        <f>IF(Match!B11="","",Match!B11)</f>
        <v>45380</v>
      </c>
      <c r="C11" s="503">
        <f t="shared" si="2"/>
        <v>6</v>
      </c>
      <c r="D11" s="59" t="str">
        <f>IF(Match!D11="","",Match!D11)</f>
        <v>Champ</v>
      </c>
      <c r="E11" s="58" t="str">
        <f>IF(Match!U11="","",Match!U11)</f>
        <v>Sheff W  v  Swansea   29/20  9/4  9/5</v>
      </c>
      <c r="F11" s="58" t="str">
        <f>IF(Match!V11="","",Match!V11)</f>
        <v xml:space="preserve">Sheff W 1-1 Swansea </v>
      </c>
      <c r="G11" s="32" t="str">
        <f t="shared" si="0"/>
        <v>Sheff W</v>
      </c>
      <c r="H11" s="33" t="str">
        <f t="shared" si="1"/>
        <v>29/20</v>
      </c>
      <c r="I11" s="174">
        <f t="shared" si="3"/>
        <v>2.4500000000000002</v>
      </c>
      <c r="J11" s="33">
        <f>INDEX(Picks!T:T,MATCH(G11,Picks!R:R,0))</f>
        <v>0</v>
      </c>
      <c r="K11" s="33">
        <f>IF(INDEX(Match!P:P,MATCH(A11,Match!A:A,0))="OFF",0,1)</f>
        <v>1</v>
      </c>
      <c r="L11" t="str">
        <f>INDEX(Match!Q:Q,MATCH(E11,Match!U:U,0))</f>
        <v>Sheff W</v>
      </c>
      <c r="M11" t="str">
        <f>INDEX(Match!X:X,MATCH(E11,Match!U:U,0))</f>
        <v>29/20</v>
      </c>
      <c r="N11" t="str">
        <f>INDEX(Match!R:R,MATCH(E11,Match!U:U,0))</f>
        <v>Swansea</v>
      </c>
      <c r="O11" t="str">
        <f>INDEX(Match!Y:Y,MATCH(E11,Match!U:U,0))</f>
        <v>9/4</v>
      </c>
      <c r="P11" t="str">
        <f>INDEX(Match!Z:Z,MATCH(E11,Match!U:U,0))</f>
        <v>9/5</v>
      </c>
      <c r="Q11" s="171">
        <f>INDEX(Match!AA:AA,MATCH(E11,Match!U:U,0))</f>
        <v>2.4500000000000002</v>
      </c>
      <c r="R11" s="171">
        <f>INDEX(Match!AB:AB,MATCH(E11,Match!U:U,0))</f>
        <v>3.25</v>
      </c>
      <c r="S11" s="171">
        <f>INDEX(Match!AC:AC,MATCH(E11,Match!U:U,0))</f>
        <v>2.8</v>
      </c>
    </row>
    <row r="12" spans="1:19">
      <c r="A12" s="4">
        <v>11</v>
      </c>
      <c r="B12" s="90">
        <f>IF(Match!B12="","",Match!B12)</f>
        <v>45380</v>
      </c>
      <c r="C12" s="503">
        <f t="shared" si="2"/>
        <v>6</v>
      </c>
      <c r="D12" s="59" t="str">
        <f>IF(Match!D12="","",Match!D12)</f>
        <v>Champ</v>
      </c>
      <c r="E12" s="58" t="str">
        <f>IF(Match!U12="","",Match!U12)</f>
        <v>Southampton  v  Middlesbro   6/10  16/5  4/1</v>
      </c>
      <c r="F12" s="58" t="str">
        <f>IF(Match!V12="","",Match!V12)</f>
        <v xml:space="preserve">Southampton 1-1 Middlesbro </v>
      </c>
      <c r="G12" s="32" t="str">
        <f t="shared" si="0"/>
        <v>Southampton</v>
      </c>
      <c r="H12" s="33" t="str">
        <f t="shared" si="1"/>
        <v>6/10</v>
      </c>
      <c r="I12" s="174">
        <f t="shared" si="3"/>
        <v>1.6</v>
      </c>
      <c r="J12" s="33">
        <f>INDEX(Picks!T:T,MATCH(G12,Picks!R:R,0))</f>
        <v>0</v>
      </c>
      <c r="K12" s="33">
        <f>IF(INDEX(Match!P:P,MATCH(A12,Match!A:A,0))="OFF",0,1)</f>
        <v>1</v>
      </c>
      <c r="L12" t="str">
        <f>INDEX(Match!Q:Q,MATCH(E12,Match!U:U,0))</f>
        <v>Southampton</v>
      </c>
      <c r="M12" t="str">
        <f>INDEX(Match!X:X,MATCH(E12,Match!U:U,0))</f>
        <v>6/10</v>
      </c>
      <c r="N12" t="str">
        <f>INDEX(Match!R:R,MATCH(E12,Match!U:U,0))</f>
        <v>Middlesbro</v>
      </c>
      <c r="O12" t="str">
        <f>INDEX(Match!Y:Y,MATCH(E12,Match!U:U,0))</f>
        <v>16/5</v>
      </c>
      <c r="P12" t="str">
        <f>INDEX(Match!Z:Z,MATCH(E12,Match!U:U,0))</f>
        <v>4/1</v>
      </c>
      <c r="Q12" s="171">
        <f>INDEX(Match!AA:AA,MATCH(E12,Match!U:U,0))</f>
        <v>1.6</v>
      </c>
      <c r="R12" s="171">
        <f>INDEX(Match!AB:AB,MATCH(E12,Match!U:U,0))</f>
        <v>4.2</v>
      </c>
      <c r="S12" s="171">
        <f>INDEX(Match!AC:AC,MATCH(E12,Match!U:U,0))</f>
        <v>5</v>
      </c>
    </row>
    <row r="13" spans="1:19">
      <c r="A13" s="4">
        <v>12</v>
      </c>
      <c r="B13" s="90">
        <f>IF(Match!B13="","",Match!B13)</f>
        <v>45380</v>
      </c>
      <c r="C13" s="503">
        <f t="shared" si="2"/>
        <v>6</v>
      </c>
      <c r="D13" s="59" t="str">
        <f>IF(Match!D13="","",Match!D13)</f>
        <v>Champ</v>
      </c>
      <c r="E13" s="58" t="str">
        <f>IF(Match!U13="","",Match!U13)</f>
        <v>Watford  v  Leeds   4/1  29/10  8/13</v>
      </c>
      <c r="F13" s="58" t="str">
        <f>IF(Match!V13="","",Match!V13)</f>
        <v xml:space="preserve">Watford 2-2 Leeds </v>
      </c>
      <c r="G13" s="32" t="str">
        <f t="shared" si="0"/>
        <v>Watford</v>
      </c>
      <c r="H13" s="33" t="str">
        <f t="shared" si="1"/>
        <v>4/1</v>
      </c>
      <c r="I13" s="174">
        <f t="shared" si="3"/>
        <v>5</v>
      </c>
      <c r="J13" s="33">
        <f>INDEX(Picks!T:T,MATCH(G13,Picks!R:R,0))</f>
        <v>0</v>
      </c>
      <c r="K13" s="33">
        <f>IF(INDEX(Match!P:P,MATCH(A13,Match!A:A,0))="OFF",0,1)</f>
        <v>1</v>
      </c>
      <c r="L13" t="str">
        <f>INDEX(Match!Q:Q,MATCH(E13,Match!U:U,0))</f>
        <v>Watford</v>
      </c>
      <c r="M13" t="str">
        <f>INDEX(Match!X:X,MATCH(E13,Match!U:U,0))</f>
        <v>4/1</v>
      </c>
      <c r="N13" t="str">
        <f>INDEX(Match!R:R,MATCH(E13,Match!U:U,0))</f>
        <v>Leeds</v>
      </c>
      <c r="O13" t="str">
        <f>INDEX(Match!Y:Y,MATCH(E13,Match!U:U,0))</f>
        <v>29/10</v>
      </c>
      <c r="P13" t="str">
        <f>INDEX(Match!Z:Z,MATCH(E13,Match!U:U,0))</f>
        <v>8/13</v>
      </c>
      <c r="Q13" s="171">
        <f>INDEX(Match!AA:AA,MATCH(E13,Match!U:U,0))</f>
        <v>5</v>
      </c>
      <c r="R13" s="171">
        <f>INDEX(Match!AB:AB,MATCH(E13,Match!U:U,0))</f>
        <v>3.9</v>
      </c>
      <c r="S13" s="171">
        <f>INDEX(Match!AC:AC,MATCH(E13,Match!U:U,0))</f>
        <v>1.6153846153846154</v>
      </c>
    </row>
    <row r="14" spans="1:19">
      <c r="A14" s="4">
        <v>13</v>
      </c>
      <c r="B14" s="90">
        <f>IF(Match!B14="","",Match!B14)</f>
        <v>45380</v>
      </c>
      <c r="C14" s="503">
        <f t="shared" si="2"/>
        <v>6</v>
      </c>
      <c r="D14" s="59" t="str">
        <f>IF(Match!D14="","",Match!D14)</f>
        <v>League 1</v>
      </c>
      <c r="E14" s="58" t="str">
        <f>IF(Match!U14="","",Match!U14)</f>
        <v>Barnsley  v  Cambridge   8/15  16/5  24/5</v>
      </c>
      <c r="F14" s="58" t="str">
        <f>IF(Match!V14="","",Match!V14)</f>
        <v xml:space="preserve">Barnsley 0-2 Cambridge </v>
      </c>
      <c r="G14" s="32" t="str">
        <f t="shared" si="0"/>
        <v>Barnsley</v>
      </c>
      <c r="H14" s="33" t="str">
        <f t="shared" si="1"/>
        <v>8/15</v>
      </c>
      <c r="I14" s="174">
        <f t="shared" si="3"/>
        <v>1.5333333333333332</v>
      </c>
      <c r="J14" s="33">
        <f>INDEX(Picks!T:T,MATCH(G14,Picks!R:R,0))</f>
        <v>0</v>
      </c>
      <c r="K14" s="33">
        <f>IF(INDEX(Match!P:P,MATCH(A14,Match!A:A,0))="OFF",0,1)</f>
        <v>1</v>
      </c>
      <c r="L14" t="str">
        <f>INDEX(Match!Q:Q,MATCH(E14,Match!U:U,0))</f>
        <v>Barnsley</v>
      </c>
      <c r="M14" t="str">
        <f>INDEX(Match!X:X,MATCH(E14,Match!U:U,0))</f>
        <v>8/15</v>
      </c>
      <c r="N14" t="str">
        <f>INDEX(Match!R:R,MATCH(E14,Match!U:U,0))</f>
        <v>Cambridge</v>
      </c>
      <c r="O14" t="str">
        <f>INDEX(Match!Y:Y,MATCH(E14,Match!U:U,0))</f>
        <v>16/5</v>
      </c>
      <c r="P14" t="str">
        <f>INDEX(Match!Z:Z,MATCH(E14,Match!U:U,0))</f>
        <v>24/5</v>
      </c>
      <c r="Q14" s="171">
        <f>INDEX(Match!AA:AA,MATCH(E14,Match!U:U,0))</f>
        <v>1.5333333333333332</v>
      </c>
      <c r="R14" s="171">
        <f>INDEX(Match!AB:AB,MATCH(E14,Match!U:U,0))</f>
        <v>4.2</v>
      </c>
      <c r="S14" s="171">
        <f>INDEX(Match!AC:AC,MATCH(E14,Match!U:U,0))</f>
        <v>5.8</v>
      </c>
    </row>
    <row r="15" spans="1:19">
      <c r="A15" s="4">
        <v>14</v>
      </c>
      <c r="B15" s="90">
        <f>IF(Match!B15="","",Match!B15)</f>
        <v>45380</v>
      </c>
      <c r="C15" s="503">
        <f t="shared" si="2"/>
        <v>6</v>
      </c>
      <c r="D15" s="59" t="str">
        <f>IF(Match!D15="","",Match!D15)</f>
        <v>League 1</v>
      </c>
      <c r="E15" s="58" t="str">
        <f>IF(Match!U15="","",Match!U15)</f>
        <v>Derby  v  Blackpool   17/20  13/5  3/1</v>
      </c>
      <c r="F15" s="58" t="str">
        <f>IF(Match!V15="","",Match!V15)</f>
        <v xml:space="preserve">Derby 1-0 Blackpool </v>
      </c>
      <c r="G15" s="32" t="str">
        <f t="shared" si="0"/>
        <v>Derby</v>
      </c>
      <c r="H15" s="33" t="str">
        <f t="shared" si="1"/>
        <v>17/20</v>
      </c>
      <c r="I15" s="174">
        <f t="shared" si="3"/>
        <v>1.85</v>
      </c>
      <c r="J15" s="33">
        <f>INDEX(Picks!T:T,MATCH(G15,Picks!R:R,0))</f>
        <v>1</v>
      </c>
      <c r="K15" s="33">
        <f>IF(INDEX(Match!P:P,MATCH(A15,Match!A:A,0))="OFF",0,1)</f>
        <v>1</v>
      </c>
      <c r="L15" t="str">
        <f>INDEX(Match!Q:Q,MATCH(E15,Match!U:U,0))</f>
        <v>Derby</v>
      </c>
      <c r="M15" t="str">
        <f>INDEX(Match!X:X,MATCH(E15,Match!U:U,0))</f>
        <v>17/20</v>
      </c>
      <c r="N15" t="str">
        <f>INDEX(Match!R:R,MATCH(E15,Match!U:U,0))</f>
        <v>Blackpool</v>
      </c>
      <c r="O15" t="str">
        <f>INDEX(Match!Y:Y,MATCH(E15,Match!U:U,0))</f>
        <v>13/5</v>
      </c>
      <c r="P15" t="str">
        <f>INDEX(Match!Z:Z,MATCH(E15,Match!U:U,0))</f>
        <v>3/1</v>
      </c>
      <c r="Q15" s="171">
        <f>INDEX(Match!AA:AA,MATCH(E15,Match!U:U,0))</f>
        <v>1.85</v>
      </c>
      <c r="R15" s="171">
        <f>INDEX(Match!AB:AB,MATCH(E15,Match!U:U,0))</f>
        <v>3.6</v>
      </c>
      <c r="S15" s="171">
        <f>INDEX(Match!AC:AC,MATCH(E15,Match!U:U,0))</f>
        <v>4</v>
      </c>
    </row>
    <row r="16" spans="1:19">
      <c r="A16" s="4">
        <v>15</v>
      </c>
      <c r="B16" s="90">
        <f>IF(Match!B16="","",Match!B16)</f>
        <v>45380</v>
      </c>
      <c r="C16" s="503">
        <f t="shared" si="2"/>
        <v>6</v>
      </c>
      <c r="D16" s="59" t="str">
        <f>IF(Match!D16="","",Match!D16)</f>
        <v>League 1</v>
      </c>
      <c r="E16" s="58" t="str">
        <f>IF(Match!U16="","",Match!U16)</f>
        <v>Exeter  v  Charlton   8/5  12/5  8/5</v>
      </c>
      <c r="F16" s="58" t="str">
        <f>IF(Match!V16="","",Match!V16)</f>
        <v xml:space="preserve">Exeter 1-1 Charlton </v>
      </c>
      <c r="G16" s="32" t="str">
        <f t="shared" si="0"/>
        <v>Exeter</v>
      </c>
      <c r="H16" s="33" t="str">
        <f t="shared" si="1"/>
        <v>8/5</v>
      </c>
      <c r="I16" s="174">
        <f t="shared" si="3"/>
        <v>2.6</v>
      </c>
      <c r="J16" s="33">
        <f>INDEX(Picks!T:T,MATCH(G16,Picks!R:R,0))</f>
        <v>0</v>
      </c>
      <c r="K16" s="33">
        <f>IF(INDEX(Match!P:P,MATCH(A16,Match!A:A,0))="OFF",0,1)</f>
        <v>1</v>
      </c>
      <c r="L16" t="str">
        <f>INDEX(Match!Q:Q,MATCH(E16,Match!U:U,0))</f>
        <v>Exeter</v>
      </c>
      <c r="M16" t="str">
        <f>INDEX(Match!X:X,MATCH(E16,Match!U:U,0))</f>
        <v>8/5</v>
      </c>
      <c r="N16" t="str">
        <f>INDEX(Match!R:R,MATCH(E16,Match!U:U,0))</f>
        <v>Charlton</v>
      </c>
      <c r="O16" t="str">
        <f>INDEX(Match!Y:Y,MATCH(E16,Match!U:U,0))</f>
        <v>12/5</v>
      </c>
      <c r="P16" t="str">
        <f>INDEX(Match!Z:Z,MATCH(E16,Match!U:U,0))</f>
        <v>8/5</v>
      </c>
      <c r="Q16" s="171">
        <f>INDEX(Match!AA:AA,MATCH(E16,Match!U:U,0))</f>
        <v>2.6</v>
      </c>
      <c r="R16" s="171">
        <f>INDEX(Match!AB:AB,MATCH(E16,Match!U:U,0))</f>
        <v>3.4</v>
      </c>
      <c r="S16" s="171">
        <f>INDEX(Match!AC:AC,MATCH(E16,Match!U:U,0))</f>
        <v>2.6</v>
      </c>
    </row>
    <row r="17" spans="1:19">
      <c r="A17" s="4">
        <v>16</v>
      </c>
      <c r="B17" s="90">
        <f>IF(Match!B17="","",Match!B17)</f>
        <v>45380</v>
      </c>
      <c r="C17" s="503">
        <f t="shared" si="2"/>
        <v>6</v>
      </c>
      <c r="D17" s="59" t="str">
        <f>IF(Match!D17="","",Match!D17)</f>
        <v>League 1</v>
      </c>
      <c r="E17" s="58" t="str">
        <f>IF(Match!U17="","",Match!U17)</f>
        <v>Fleetwood  v  Cheltenham   1/1  5/2  5/2</v>
      </c>
      <c r="F17" s="58" t="str">
        <f>IF(Match!V17="","",Match!V17)</f>
        <v xml:space="preserve">Fleetwood 1-2 Cheltenham </v>
      </c>
      <c r="G17" s="32" t="str">
        <f t="shared" si="0"/>
        <v>Fleetwood</v>
      </c>
      <c r="H17" s="33" t="str">
        <f t="shared" si="1"/>
        <v>1/1</v>
      </c>
      <c r="I17" s="174">
        <f t="shared" si="3"/>
        <v>2</v>
      </c>
      <c r="J17" s="33">
        <f>INDEX(Picks!T:T,MATCH(G17,Picks!R:R,0))</f>
        <v>0</v>
      </c>
      <c r="K17" s="33">
        <f>IF(INDEX(Match!P:P,MATCH(A17,Match!A:A,0))="OFF",0,1)</f>
        <v>1</v>
      </c>
      <c r="L17" t="str">
        <f>INDEX(Match!Q:Q,MATCH(E17,Match!U:U,0))</f>
        <v>Fleetwood</v>
      </c>
      <c r="M17" t="str">
        <f>INDEX(Match!X:X,MATCH(E17,Match!U:U,0))</f>
        <v>1/1</v>
      </c>
      <c r="N17" t="str">
        <f>INDEX(Match!R:R,MATCH(E17,Match!U:U,0))</f>
        <v>Cheltenham</v>
      </c>
      <c r="O17" t="str">
        <f>INDEX(Match!Y:Y,MATCH(E17,Match!U:U,0))</f>
        <v>5/2</v>
      </c>
      <c r="P17" t="str">
        <f>INDEX(Match!Z:Z,MATCH(E17,Match!U:U,0))</f>
        <v>5/2</v>
      </c>
      <c r="Q17" s="171">
        <f>INDEX(Match!AA:AA,MATCH(E17,Match!U:U,0))</f>
        <v>2</v>
      </c>
      <c r="R17" s="171">
        <f>INDEX(Match!AB:AB,MATCH(E17,Match!U:U,0))</f>
        <v>3.5</v>
      </c>
      <c r="S17" s="171">
        <f>INDEX(Match!AC:AC,MATCH(E17,Match!U:U,0))</f>
        <v>3.5</v>
      </c>
    </row>
    <row r="18" spans="1:19">
      <c r="A18" s="4">
        <v>17</v>
      </c>
      <c r="B18" s="90">
        <f>IF(Match!B18="","",Match!B18)</f>
        <v>45380</v>
      </c>
      <c r="C18" s="503">
        <f t="shared" si="2"/>
        <v>6</v>
      </c>
      <c r="D18" s="59" t="str">
        <f>IF(Match!D21="","",Match!D21)</f>
        <v>League 1</v>
      </c>
      <c r="E18" s="58" t="str">
        <f>IF(Match!U18="","",Match!U18)</f>
        <v>Lincoln  v  Orient   1/1  23/10  27/10</v>
      </c>
      <c r="F18" s="58" t="str">
        <f>IF(Match!V18="","",Match!V18)</f>
        <v xml:space="preserve">Lincoln 1-0 Orient </v>
      </c>
      <c r="G18" s="32" t="str">
        <f t="shared" si="0"/>
        <v>Lincoln</v>
      </c>
      <c r="H18" s="33" t="str">
        <f t="shared" si="1"/>
        <v>1/1</v>
      </c>
      <c r="I18" s="174">
        <f t="shared" si="3"/>
        <v>2</v>
      </c>
      <c r="J18" s="33">
        <f>INDEX(Picks!T:T,MATCH(G18,Picks!R:R,0))</f>
        <v>1</v>
      </c>
      <c r="K18" s="33">
        <f>IF(INDEX(Match!P:P,MATCH(A18,Match!A:A,0))="OFF",0,1)</f>
        <v>1</v>
      </c>
      <c r="L18" t="str">
        <f>INDEX(Match!Q:Q,MATCH(E18,Match!U:U,0))</f>
        <v>Lincoln</v>
      </c>
      <c r="M18" t="str">
        <f>INDEX(Match!X:X,MATCH(E18,Match!U:U,0))</f>
        <v>1/1</v>
      </c>
      <c r="N18" t="str">
        <f>INDEX(Match!R:R,MATCH(E18,Match!U:U,0))</f>
        <v>Orient</v>
      </c>
      <c r="O18" t="str">
        <f>INDEX(Match!Y:Y,MATCH(E18,Match!U:U,0))</f>
        <v>23/10</v>
      </c>
      <c r="P18" t="str">
        <f>INDEX(Match!Z:Z,MATCH(E18,Match!U:U,0))</f>
        <v>27/10</v>
      </c>
      <c r="Q18" s="171">
        <f>INDEX(Match!AA:AA,MATCH(E18,Match!U:U,0))</f>
        <v>2</v>
      </c>
      <c r="R18" s="171">
        <f>INDEX(Match!AB:AB,MATCH(E18,Match!U:U,0))</f>
        <v>3.3</v>
      </c>
      <c r="S18" s="171">
        <f>INDEX(Match!AC:AC,MATCH(E18,Match!U:U,0))</f>
        <v>3.7</v>
      </c>
    </row>
    <row r="19" spans="1:19">
      <c r="A19" s="4">
        <v>18</v>
      </c>
      <c r="B19" s="90">
        <f>IF(Match!B19="","",Match!B19)</f>
        <v>45380</v>
      </c>
      <c r="C19" s="503">
        <f t="shared" si="2"/>
        <v>6</v>
      </c>
      <c r="D19" s="59" t="str">
        <f>IF(Match!D19="","",Match!D19)</f>
        <v>League 1</v>
      </c>
      <c r="E19" s="58" t="str">
        <f>IF(Match!U19="","",Match!U19)</f>
        <v>Peterborough  v  Carlisle   2/7  9/2  8/1</v>
      </c>
      <c r="F19" s="58" t="str">
        <f>IF(Match!V19="","",Match!V19)</f>
        <v xml:space="preserve">Peterborough 1-3 Carlisle </v>
      </c>
      <c r="G19" s="32" t="str">
        <f t="shared" si="0"/>
        <v>Peterborough</v>
      </c>
      <c r="H19" s="33" t="str">
        <f t="shared" si="1"/>
        <v>2/7</v>
      </c>
      <c r="I19" s="174">
        <f t="shared" si="3"/>
        <v>1.2857142857142856</v>
      </c>
      <c r="J19" s="33">
        <f>INDEX(Picks!T:T,MATCH(G19,Picks!R:R,0))</f>
        <v>0</v>
      </c>
      <c r="K19" s="33">
        <f>IF(INDEX(Match!P:P,MATCH(A19,Match!A:A,0))="OFF",0,1)</f>
        <v>1</v>
      </c>
      <c r="L19" t="str">
        <f>INDEX(Match!Q:Q,MATCH(E19,Match!U:U,0))</f>
        <v>Peterborough</v>
      </c>
      <c r="M19" t="str">
        <f>INDEX(Match!X:X,MATCH(E19,Match!U:U,0))</f>
        <v>2/7</v>
      </c>
      <c r="N19" t="str">
        <f>INDEX(Match!R:R,MATCH(E19,Match!U:U,0))</f>
        <v>Carlisle</v>
      </c>
      <c r="O19" t="str">
        <f>INDEX(Match!Y:Y,MATCH(E19,Match!U:U,0))</f>
        <v>9/2</v>
      </c>
      <c r="P19" t="str">
        <f>INDEX(Match!Z:Z,MATCH(E19,Match!U:U,0))</f>
        <v>8/1</v>
      </c>
      <c r="Q19" s="171">
        <f>INDEX(Match!AA:AA,MATCH(E19,Match!U:U,0))</f>
        <v>1.2857142857142856</v>
      </c>
      <c r="R19" s="171">
        <f>INDEX(Match!AB:AB,MATCH(E19,Match!U:U,0))</f>
        <v>5.5</v>
      </c>
      <c r="S19" s="171">
        <f>INDEX(Match!AC:AC,MATCH(E19,Match!U:U,0))</f>
        <v>9</v>
      </c>
    </row>
    <row r="20" spans="1:19">
      <c r="A20" s="4">
        <v>19</v>
      </c>
      <c r="B20" s="90">
        <f>IF(Match!B20="","",Match!B20)</f>
        <v>45380</v>
      </c>
      <c r="C20" s="503">
        <f t="shared" si="2"/>
        <v>6</v>
      </c>
      <c r="D20" s="59" t="str">
        <f>IF(Match!D20="","",Match!D20)</f>
        <v>League 1</v>
      </c>
      <c r="E20" s="58" t="str">
        <f>IF(Match!U20="","",Match!U20)</f>
        <v>Port Vale  v  Bristol R   8/5  12/5  8/5</v>
      </c>
      <c r="F20" s="58" t="str">
        <f>IF(Match!V20="","",Match!V20)</f>
        <v xml:space="preserve">Port Vale 2-0 Bristol R </v>
      </c>
      <c r="G20" s="32" t="str">
        <f t="shared" si="0"/>
        <v>Port Vale</v>
      </c>
      <c r="H20" s="33" t="str">
        <f t="shared" si="1"/>
        <v>8/5</v>
      </c>
      <c r="I20" s="174">
        <f t="shared" si="3"/>
        <v>2.6</v>
      </c>
      <c r="J20" s="33">
        <f>INDEX(Picks!T:T,MATCH(G20,Picks!R:R,0))</f>
        <v>1</v>
      </c>
      <c r="K20" s="33">
        <f>IF(INDEX(Match!P:P,MATCH(A20,Match!A:A,0))="OFF",0,1)</f>
        <v>1</v>
      </c>
      <c r="L20" t="str">
        <f>INDEX(Match!Q:Q,MATCH(E20,Match!U:U,0))</f>
        <v>Port Vale</v>
      </c>
      <c r="M20" t="str">
        <f>INDEX(Match!X:X,MATCH(E20,Match!U:U,0))</f>
        <v>8/5</v>
      </c>
      <c r="N20" t="str">
        <f>INDEX(Match!R:R,MATCH(E20,Match!U:U,0))</f>
        <v>Bristol R</v>
      </c>
      <c r="O20" t="str">
        <f>INDEX(Match!Y:Y,MATCH(E20,Match!U:U,0))</f>
        <v>12/5</v>
      </c>
      <c r="P20" t="str">
        <f>INDEX(Match!Z:Z,MATCH(E20,Match!U:U,0))</f>
        <v>8/5</v>
      </c>
      <c r="Q20" s="171">
        <f>INDEX(Match!AA:AA,MATCH(E20,Match!U:U,0))</f>
        <v>2.6</v>
      </c>
      <c r="R20" s="171">
        <f>INDEX(Match!AB:AB,MATCH(E20,Match!U:U,0))</f>
        <v>3.4</v>
      </c>
      <c r="S20" s="171">
        <f>INDEX(Match!AC:AC,MATCH(E20,Match!U:U,0))</f>
        <v>2.6</v>
      </c>
    </row>
    <row r="21" spans="1:19">
      <c r="A21" s="4">
        <v>20</v>
      </c>
      <c r="B21" s="90">
        <f>IF(Match!B21="","",Match!B21)</f>
        <v>45380</v>
      </c>
      <c r="C21" s="503">
        <f t="shared" si="2"/>
        <v>6</v>
      </c>
      <c r="D21" s="59" t="str">
        <f>IF(Match!D21="","",Match!D21)</f>
        <v>League 1</v>
      </c>
      <c r="E21" s="58" t="str">
        <f>IF(Match!U21="","",Match!U21)</f>
        <v>Reading  v  Northampton   7/10  14/5  7/2</v>
      </c>
      <c r="F21" s="58" t="str">
        <f>IF(Match!V21="","",Match!V21)</f>
        <v xml:space="preserve">Reading 1-0 Northampton </v>
      </c>
      <c r="G21" s="32" t="str">
        <f t="shared" si="0"/>
        <v>Reading</v>
      </c>
      <c r="H21" s="33" t="str">
        <f t="shared" si="1"/>
        <v>7/10</v>
      </c>
      <c r="I21" s="174">
        <f t="shared" si="3"/>
        <v>1.7</v>
      </c>
      <c r="J21" s="33">
        <f>INDEX(Picks!T:T,MATCH(G21,Picks!R:R,0))</f>
        <v>1</v>
      </c>
      <c r="K21" s="33">
        <f>IF(INDEX(Match!P:P,MATCH(A21,Match!A:A,0))="OFF",0,1)</f>
        <v>1</v>
      </c>
      <c r="L21" t="str">
        <f>INDEX(Match!Q:Q,MATCH(E21,Match!U:U,0))</f>
        <v>Reading</v>
      </c>
      <c r="M21" t="str">
        <f>INDEX(Match!X:X,MATCH(E21,Match!U:U,0))</f>
        <v>7/10</v>
      </c>
      <c r="N21" t="str">
        <f>INDEX(Match!R:R,MATCH(E21,Match!U:U,0))</f>
        <v>Northampton</v>
      </c>
      <c r="O21" t="str">
        <f>INDEX(Match!Y:Y,MATCH(E21,Match!U:U,0))</f>
        <v>14/5</v>
      </c>
      <c r="P21" t="str">
        <f>INDEX(Match!Z:Z,MATCH(E21,Match!U:U,0))</f>
        <v>7/2</v>
      </c>
      <c r="Q21" s="171">
        <f>INDEX(Match!AA:AA,MATCH(E21,Match!U:U,0))</f>
        <v>1.7</v>
      </c>
      <c r="R21" s="171">
        <f>INDEX(Match!AB:AB,MATCH(E21,Match!U:U,0))</f>
        <v>3.8</v>
      </c>
      <c r="S21" s="171">
        <f>INDEX(Match!AC:AC,MATCH(E21,Match!U:U,0))</f>
        <v>4.5</v>
      </c>
    </row>
    <row r="22" spans="1:19">
      <c r="A22" s="4">
        <v>21</v>
      </c>
      <c r="B22" s="90">
        <f>IF(Match!B22="","",Match!B22)</f>
        <v>45380</v>
      </c>
      <c r="C22" s="503">
        <f t="shared" si="2"/>
        <v>6</v>
      </c>
      <c r="D22" s="59" t="str">
        <f>IF(Match!D22="","",Match!D22)</f>
        <v>League 1</v>
      </c>
      <c r="E22" s="58" t="str">
        <f>IF(Match!U22="","",Match!U22)</f>
        <v>Shrewsbury  v  Oxford   27/10  5/2  19/20</v>
      </c>
      <c r="F22" s="58" t="str">
        <f>IF(Match!V22="","",Match!V22)</f>
        <v xml:space="preserve">Shrewsbury 1-1 Oxford </v>
      </c>
      <c r="G22" s="32" t="str">
        <f t="shared" si="0"/>
        <v>Shrewsbury</v>
      </c>
      <c r="H22" s="33" t="str">
        <f t="shared" si="1"/>
        <v>27/10</v>
      </c>
      <c r="I22" s="174">
        <f t="shared" si="3"/>
        <v>3.7</v>
      </c>
      <c r="J22" s="33">
        <f>INDEX(Picks!T:T,MATCH(G22,Picks!R:R,0))</f>
        <v>0</v>
      </c>
      <c r="K22" s="33">
        <f>IF(INDEX(Match!P:P,MATCH(A22,Match!A:A,0))="OFF",0,1)</f>
        <v>1</v>
      </c>
      <c r="L22" t="str">
        <f>INDEX(Match!Q:Q,MATCH(E22,Match!U:U,0))</f>
        <v>Shrewsbury</v>
      </c>
      <c r="M22" t="str">
        <f>INDEX(Match!X:X,MATCH(E22,Match!U:U,0))</f>
        <v>27/10</v>
      </c>
      <c r="N22" t="str">
        <f>INDEX(Match!R:R,MATCH(E22,Match!U:U,0))</f>
        <v>Oxford</v>
      </c>
      <c r="O22" t="str">
        <f>INDEX(Match!Y:Y,MATCH(E22,Match!U:U,0))</f>
        <v>5/2</v>
      </c>
      <c r="P22" t="str">
        <f>INDEX(Match!Z:Z,MATCH(E22,Match!U:U,0))</f>
        <v>19/20</v>
      </c>
      <c r="Q22" s="171">
        <f>INDEX(Match!AA:AA,MATCH(E22,Match!U:U,0))</f>
        <v>3.7</v>
      </c>
      <c r="R22" s="171">
        <f>INDEX(Match!AB:AB,MATCH(E22,Match!U:U,0))</f>
        <v>3.5</v>
      </c>
      <c r="S22" s="171">
        <f>INDEX(Match!AC:AC,MATCH(E22,Match!U:U,0))</f>
        <v>1.95</v>
      </c>
    </row>
    <row r="23" spans="1:19">
      <c r="A23" s="4">
        <v>22</v>
      </c>
      <c r="B23" s="90">
        <f>IF(Match!B23="","",Match!B23)</f>
        <v>45380</v>
      </c>
      <c r="C23" s="503">
        <f t="shared" si="2"/>
        <v>6</v>
      </c>
      <c r="D23" s="59" t="str">
        <f>IF(Match!D23="","",Match!D23)</f>
        <v>League 1</v>
      </c>
      <c r="E23" s="58" t="str">
        <f>IF(Match!U23="","",Match!U23)</f>
        <v>Stevenage  v  Bolton   17/10  9/4  8/5</v>
      </c>
      <c r="F23" s="58" t="str">
        <f>IF(Match!V23="","",Match!V23)</f>
        <v xml:space="preserve">Stevenage 0-0 Bolton </v>
      </c>
      <c r="G23" s="32" t="str">
        <f t="shared" si="0"/>
        <v>Stevenage</v>
      </c>
      <c r="H23" s="33" t="str">
        <f t="shared" si="1"/>
        <v>17/10</v>
      </c>
      <c r="I23" s="174">
        <f t="shared" si="3"/>
        <v>2.7</v>
      </c>
      <c r="J23" s="33">
        <f>INDEX(Picks!T:T,MATCH(G23,Picks!R:R,0))</f>
        <v>0</v>
      </c>
      <c r="K23" s="33">
        <f>IF(INDEX(Match!P:P,MATCH(A23,Match!A:A,0))="OFF",0,1)</f>
        <v>1</v>
      </c>
      <c r="L23" t="str">
        <f>INDEX(Match!Q:Q,MATCH(E23,Match!U:U,0))</f>
        <v>Stevenage</v>
      </c>
      <c r="M23" t="str">
        <f>INDEX(Match!X:X,MATCH(E23,Match!U:U,0))</f>
        <v>17/10</v>
      </c>
      <c r="N23" t="str">
        <f>INDEX(Match!R:R,MATCH(E23,Match!U:U,0))</f>
        <v>Bolton</v>
      </c>
      <c r="O23" t="str">
        <f>INDEX(Match!Y:Y,MATCH(E23,Match!U:U,0))</f>
        <v>9/4</v>
      </c>
      <c r="P23" t="str">
        <f>INDEX(Match!Z:Z,MATCH(E23,Match!U:U,0))</f>
        <v>8/5</v>
      </c>
      <c r="Q23" s="171">
        <f>INDEX(Match!AA:AA,MATCH(E23,Match!U:U,0))</f>
        <v>2.7</v>
      </c>
      <c r="R23" s="171">
        <f>INDEX(Match!AB:AB,MATCH(E23,Match!U:U,0))</f>
        <v>3.25</v>
      </c>
      <c r="S23" s="171">
        <f>INDEX(Match!AC:AC,MATCH(E23,Match!U:U,0))</f>
        <v>2.6</v>
      </c>
    </row>
    <row r="24" spans="1:19">
      <c r="A24" s="4">
        <v>23</v>
      </c>
      <c r="B24" s="90">
        <f>IF(Match!B24="","",Match!B24)</f>
        <v>45380</v>
      </c>
      <c r="C24" s="503">
        <f t="shared" si="2"/>
        <v>6</v>
      </c>
      <c r="D24" s="59" t="str">
        <f>IF(Match!D24="","",Match!D24)</f>
        <v>League 1</v>
      </c>
      <c r="E24" s="58" t="str">
        <f>IF(Match!U24="","",Match!U24)</f>
        <v>Wigan  v  Burton   19/20  12/5  11/4</v>
      </c>
      <c r="F24" s="58" t="str">
        <f>IF(Match!V24="","",Match!V24)</f>
        <v xml:space="preserve">Wigan 1-1 Burton </v>
      </c>
      <c r="G24" s="32" t="str">
        <f t="shared" si="0"/>
        <v>Wigan</v>
      </c>
      <c r="H24" s="33" t="str">
        <f t="shared" si="1"/>
        <v>19/20</v>
      </c>
      <c r="I24" s="174">
        <f t="shared" si="3"/>
        <v>1.95</v>
      </c>
      <c r="J24" s="33">
        <f>INDEX(Picks!T:T,MATCH(G24,Picks!R:R,0))</f>
        <v>0</v>
      </c>
      <c r="K24" s="33">
        <f>IF(INDEX(Match!P:P,MATCH(A24,Match!A:A,0))="OFF",0,1)</f>
        <v>1</v>
      </c>
      <c r="L24" t="str">
        <f>INDEX(Match!Q:Q,MATCH(E24,Match!U:U,0))</f>
        <v>Wigan</v>
      </c>
      <c r="M24" t="str">
        <f>INDEX(Match!X:X,MATCH(E24,Match!U:U,0))</f>
        <v>19/20</v>
      </c>
      <c r="N24" t="str">
        <f>INDEX(Match!R:R,MATCH(E24,Match!U:U,0))</f>
        <v>Burton</v>
      </c>
      <c r="O24" t="str">
        <f>INDEX(Match!Y:Y,MATCH(E24,Match!U:U,0))</f>
        <v>12/5</v>
      </c>
      <c r="P24" t="str">
        <f>INDEX(Match!Z:Z,MATCH(E24,Match!U:U,0))</f>
        <v>11/4</v>
      </c>
      <c r="Q24" s="171">
        <f>INDEX(Match!AA:AA,MATCH(E24,Match!U:U,0))</f>
        <v>1.95</v>
      </c>
      <c r="R24" s="171">
        <f>INDEX(Match!AB:AB,MATCH(E24,Match!U:U,0))</f>
        <v>3.4</v>
      </c>
      <c r="S24" s="171">
        <f>INDEX(Match!AC:AC,MATCH(E24,Match!U:U,0))</f>
        <v>3.75</v>
      </c>
    </row>
    <row r="25" spans="1:19">
      <c r="A25" s="4">
        <v>24</v>
      </c>
      <c r="B25" s="90">
        <f>IF(Match!B25="","",Match!B25)</f>
        <v>45380</v>
      </c>
      <c r="C25" s="503">
        <f t="shared" si="2"/>
        <v>6</v>
      </c>
      <c r="D25" s="59" t="str">
        <f>IF(Match!D25="","",Match!D25)</f>
        <v>League 1</v>
      </c>
      <c r="E25" s="58" t="str">
        <f>IF(Match!U25="","",Match!U25)</f>
        <v>Wycombe  v  Portsmouth   11/5  12/5  23/20</v>
      </c>
      <c r="F25" s="58" t="str">
        <f>IF(Match!V25="","",Match!V25)</f>
        <v xml:space="preserve">Wycombe 1-3 Portsmouth </v>
      </c>
      <c r="G25" s="32" t="str">
        <f t="shared" si="0"/>
        <v>Wycombe</v>
      </c>
      <c r="H25" s="33" t="str">
        <f t="shared" si="1"/>
        <v>11/5</v>
      </c>
      <c r="I25" s="174">
        <f t="shared" si="3"/>
        <v>3.2</v>
      </c>
      <c r="J25" s="33">
        <f>INDEX(Picks!T:T,MATCH(G25,Picks!R:R,0))</f>
        <v>0</v>
      </c>
      <c r="K25" s="33">
        <f>IF(INDEX(Match!P:P,MATCH(A25,Match!A:A,0))="OFF",0,1)</f>
        <v>1</v>
      </c>
      <c r="L25" t="str">
        <f>INDEX(Match!Q:Q,MATCH(E25,Match!U:U,0))</f>
        <v>Wycombe</v>
      </c>
      <c r="M25" t="str">
        <f>INDEX(Match!X:X,MATCH(E25,Match!U:U,0))</f>
        <v>11/5</v>
      </c>
      <c r="N25" t="str">
        <f>INDEX(Match!R:R,MATCH(E25,Match!U:U,0))</f>
        <v>Portsmouth</v>
      </c>
      <c r="O25" t="str">
        <f>INDEX(Match!Y:Y,MATCH(E25,Match!U:U,0))</f>
        <v>12/5</v>
      </c>
      <c r="P25" t="str">
        <f>INDEX(Match!Z:Z,MATCH(E25,Match!U:U,0))</f>
        <v>23/20</v>
      </c>
      <c r="Q25" s="171">
        <f>INDEX(Match!AA:AA,MATCH(E25,Match!U:U,0))</f>
        <v>3.2</v>
      </c>
      <c r="R25" s="171">
        <f>INDEX(Match!AB:AB,MATCH(E25,Match!U:U,0))</f>
        <v>3.4</v>
      </c>
      <c r="S25" s="171">
        <f>INDEX(Match!AC:AC,MATCH(E25,Match!U:U,0))</f>
        <v>2.15</v>
      </c>
    </row>
    <row r="26" spans="1:19">
      <c r="A26" s="4">
        <v>25</v>
      </c>
      <c r="B26" s="90">
        <f>IF(Match!B26="","",Match!B26)</f>
        <v>45380</v>
      </c>
      <c r="C26" s="503">
        <f t="shared" si="2"/>
        <v>6</v>
      </c>
      <c r="D26" s="59" t="str">
        <f>IF(Match!D26="","",Match!D26)</f>
        <v>League 2</v>
      </c>
      <c r="E26" s="58" t="str">
        <f>IF(Match!U26="","",Match!U26)</f>
        <v>Accrington  v  Morecambe   11/10  13/5  11/5</v>
      </c>
      <c r="F26" s="58" t="str">
        <f>IF(Match!V26="","",Match!V26)</f>
        <v xml:space="preserve">Accrington 1-2 Morecambe </v>
      </c>
      <c r="G26" s="32" t="str">
        <f t="shared" si="0"/>
        <v>Accrington</v>
      </c>
      <c r="H26" s="33" t="str">
        <f t="shared" si="1"/>
        <v>11/10</v>
      </c>
      <c r="I26" s="174">
        <f t="shared" si="3"/>
        <v>2.1</v>
      </c>
      <c r="J26" s="33">
        <f>INDEX(Picks!T:T,MATCH(G26,Picks!R:R,0))</f>
        <v>0</v>
      </c>
      <c r="K26" s="33">
        <f>IF(INDEX(Match!P:P,MATCH(A26,Match!A:A,0))="OFF",0,1)</f>
        <v>1</v>
      </c>
      <c r="L26" t="str">
        <f>INDEX(Match!Q:Q,MATCH(E26,Match!U:U,0))</f>
        <v>Accrington</v>
      </c>
      <c r="M26" t="str">
        <f>INDEX(Match!X:X,MATCH(E26,Match!U:U,0))</f>
        <v>11/10</v>
      </c>
      <c r="N26" t="str">
        <f>INDEX(Match!R:R,MATCH(E26,Match!U:U,0))</f>
        <v>Morecambe</v>
      </c>
      <c r="O26" t="str">
        <f>INDEX(Match!Y:Y,MATCH(E26,Match!U:U,0))</f>
        <v>13/5</v>
      </c>
      <c r="P26" t="str">
        <f>INDEX(Match!Z:Z,MATCH(E26,Match!U:U,0))</f>
        <v>11/5</v>
      </c>
      <c r="Q26" s="171">
        <f>INDEX(Match!AA:AA,MATCH(E26,Match!U:U,0))</f>
        <v>2.1</v>
      </c>
      <c r="R26" s="171">
        <f>INDEX(Match!AB:AB,MATCH(E26,Match!U:U,0))</f>
        <v>3.6</v>
      </c>
      <c r="S26" s="171">
        <f>INDEX(Match!AC:AC,MATCH(E26,Match!U:U,0))</f>
        <v>3.2</v>
      </c>
    </row>
    <row r="27" spans="1:19">
      <c r="A27" s="4">
        <v>26</v>
      </c>
      <c r="B27" s="90">
        <f>IF(Match!B27="","",Match!B27)</f>
        <v>45380</v>
      </c>
      <c r="C27" s="503">
        <f t="shared" si="2"/>
        <v>6</v>
      </c>
      <c r="D27" s="59" t="str">
        <f>IF(Match!D27="","",Match!D27)</f>
        <v>League 2</v>
      </c>
      <c r="E27" s="58" t="str">
        <f>IF(Match!U27="","",Match!U27)</f>
        <v>Barrow  v  Grimsby   19/20  12/5  11/4</v>
      </c>
      <c r="F27" s="58" t="str">
        <f>IF(Match!V27="","",Match!V27)</f>
        <v xml:space="preserve">Barrow 3-1 Grimsby </v>
      </c>
      <c r="G27" s="32" t="str">
        <f t="shared" si="0"/>
        <v>Barrow</v>
      </c>
      <c r="H27" s="33" t="str">
        <f t="shared" si="1"/>
        <v>19/20</v>
      </c>
      <c r="I27" s="174">
        <f t="shared" si="3"/>
        <v>1.95</v>
      </c>
      <c r="J27" s="33">
        <f>INDEX(Picks!T:T,MATCH(G27,Picks!R:R,0))</f>
        <v>1</v>
      </c>
      <c r="K27" s="33">
        <f>IF(INDEX(Match!P:P,MATCH(A27,Match!A:A,0))="OFF",0,1)</f>
        <v>1</v>
      </c>
      <c r="L27" t="str">
        <f>INDEX(Match!Q:Q,MATCH(E27,Match!U:U,0))</f>
        <v>Barrow</v>
      </c>
      <c r="M27" t="str">
        <f>INDEX(Match!X:X,MATCH(E27,Match!U:U,0))</f>
        <v>19/20</v>
      </c>
      <c r="N27" t="str">
        <f>INDEX(Match!R:R,MATCH(E27,Match!U:U,0))</f>
        <v>Grimsby</v>
      </c>
      <c r="O27" t="str">
        <f>INDEX(Match!Y:Y,MATCH(E27,Match!U:U,0))</f>
        <v>12/5</v>
      </c>
      <c r="P27" t="str">
        <f>INDEX(Match!Z:Z,MATCH(E27,Match!U:U,0))</f>
        <v>11/4</v>
      </c>
      <c r="Q27" s="171">
        <f>INDEX(Match!AA:AA,MATCH(E27,Match!U:U,0))</f>
        <v>1.95</v>
      </c>
      <c r="R27" s="171">
        <f>INDEX(Match!AB:AB,MATCH(E27,Match!U:U,0))</f>
        <v>3.4</v>
      </c>
      <c r="S27" s="171">
        <f>INDEX(Match!AC:AC,MATCH(E27,Match!U:U,0))</f>
        <v>3.75</v>
      </c>
    </row>
    <row r="28" spans="1:19">
      <c r="A28" s="4">
        <v>27</v>
      </c>
      <c r="B28" s="90">
        <f>IF(Match!B28="","",Match!B28)</f>
        <v>45380</v>
      </c>
      <c r="C28" s="503">
        <f t="shared" si="2"/>
        <v>6</v>
      </c>
      <c r="D28" s="59" t="str">
        <f>IF(Match!D28="","",Match!D28)</f>
        <v>League 2</v>
      </c>
      <c r="E28" s="58" t="str">
        <f>IF(Match!U28="","",Match!U28)</f>
        <v>Bradford  v  Tranmere   1/1  5/2  5/2</v>
      </c>
      <c r="F28" s="58" t="str">
        <f>IF(Match!V28="","",Match!V28)</f>
        <v xml:space="preserve">Bradford 2-0 Tranmere </v>
      </c>
      <c r="G28" s="32" t="str">
        <f t="shared" si="0"/>
        <v>Bradford</v>
      </c>
      <c r="H28" s="33" t="str">
        <f t="shared" si="1"/>
        <v>1/1</v>
      </c>
      <c r="I28" s="174">
        <f t="shared" si="3"/>
        <v>2</v>
      </c>
      <c r="J28" s="33">
        <f>INDEX(Picks!T:T,MATCH(G28,Picks!R:R,0))</f>
        <v>1</v>
      </c>
      <c r="K28" s="33">
        <f>IF(INDEX(Match!P:P,MATCH(A28,Match!A:A,0))="OFF",0,1)</f>
        <v>1</v>
      </c>
      <c r="L28" t="str">
        <f>INDEX(Match!Q:Q,MATCH(E28,Match!U:U,0))</f>
        <v>Bradford</v>
      </c>
      <c r="M28" t="str">
        <f>INDEX(Match!X:X,MATCH(E28,Match!U:U,0))</f>
        <v>1/1</v>
      </c>
      <c r="N28" t="str">
        <f>INDEX(Match!R:R,MATCH(E28,Match!U:U,0))</f>
        <v>Tranmere</v>
      </c>
      <c r="O28" t="str">
        <f>INDEX(Match!Y:Y,MATCH(E28,Match!U:U,0))</f>
        <v>5/2</v>
      </c>
      <c r="P28" t="str">
        <f>INDEX(Match!Z:Z,MATCH(E28,Match!U:U,0))</f>
        <v>5/2</v>
      </c>
      <c r="Q28" s="171">
        <f>INDEX(Match!AA:AA,MATCH(E28,Match!U:U,0))</f>
        <v>2</v>
      </c>
      <c r="R28" s="171">
        <f>INDEX(Match!AB:AB,MATCH(E28,Match!U:U,0))</f>
        <v>3.5</v>
      </c>
      <c r="S28" s="171">
        <f>INDEX(Match!AC:AC,MATCH(E28,Match!U:U,0))</f>
        <v>3.5</v>
      </c>
    </row>
    <row r="29" spans="1:19">
      <c r="A29" s="4">
        <v>28</v>
      </c>
      <c r="B29" s="90">
        <f>IF(Match!B29="","",Match!B29)</f>
        <v>45380</v>
      </c>
      <c r="C29" s="503">
        <f t="shared" si="2"/>
        <v>6</v>
      </c>
      <c r="D29" s="59" t="str">
        <f>IF(Match!D29="","",Match!D29)</f>
        <v>League 2</v>
      </c>
      <c r="E29" s="58" t="str">
        <f>IF(Match!U29="","",Match!U29)</f>
        <v>Colchester  v  Newport   1/1  13/5  5/2</v>
      </c>
      <c r="F29" s="58" t="str">
        <f>IF(Match!V29="","",Match!V29)</f>
        <v xml:space="preserve">Colchester 2-1 Newport </v>
      </c>
      <c r="G29" s="32" t="str">
        <f t="shared" si="0"/>
        <v>Colchester</v>
      </c>
      <c r="H29" s="33" t="str">
        <f t="shared" si="1"/>
        <v>1/1</v>
      </c>
      <c r="I29" s="174">
        <f t="shared" si="3"/>
        <v>2</v>
      </c>
      <c r="J29" s="33">
        <f>INDEX(Picks!T:T,MATCH(G29,Picks!R:R,0))</f>
        <v>1</v>
      </c>
      <c r="K29" s="33">
        <f>IF(INDEX(Match!P:P,MATCH(A29,Match!A:A,0))="OFF",0,1)</f>
        <v>1</v>
      </c>
      <c r="L29" t="str">
        <f>INDEX(Match!Q:Q,MATCH(E29,Match!U:U,0))</f>
        <v>Colchester</v>
      </c>
      <c r="M29" t="str">
        <f>INDEX(Match!X:X,MATCH(E29,Match!U:U,0))</f>
        <v>1/1</v>
      </c>
      <c r="N29" t="str">
        <f>INDEX(Match!R:R,MATCH(E29,Match!U:U,0))</f>
        <v>Newport</v>
      </c>
      <c r="O29" t="str">
        <f>INDEX(Match!Y:Y,MATCH(E29,Match!U:U,0))</f>
        <v>13/5</v>
      </c>
      <c r="P29" t="str">
        <f>INDEX(Match!Z:Z,MATCH(E29,Match!U:U,0))</f>
        <v>5/2</v>
      </c>
      <c r="Q29" s="171">
        <f>INDEX(Match!AA:AA,MATCH(E29,Match!U:U,0))</f>
        <v>2</v>
      </c>
      <c r="R29" s="171">
        <f>INDEX(Match!AB:AB,MATCH(E29,Match!U:U,0))</f>
        <v>3.6</v>
      </c>
      <c r="S29" s="171">
        <f>INDEX(Match!AC:AC,MATCH(E29,Match!U:U,0))</f>
        <v>3.5</v>
      </c>
    </row>
    <row r="30" spans="1:19">
      <c r="A30" s="4">
        <v>29</v>
      </c>
      <c r="B30" s="90">
        <f>IF(Match!B30="","",Match!B30)</f>
        <v>45380</v>
      </c>
      <c r="C30" s="503">
        <f t="shared" si="2"/>
        <v>6</v>
      </c>
      <c r="D30" s="59" t="str">
        <f>IF(Match!D30="","",Match!D30)</f>
        <v>League 2</v>
      </c>
      <c r="E30" s="58" t="str">
        <f>IF(Match!U30="","",Match!U30)</f>
        <v>Crawley  v  Doncaster   23/20  13/5  2/1</v>
      </c>
      <c r="F30" s="58" t="str">
        <f>IF(Match!V30="","",Match!V30)</f>
        <v xml:space="preserve">Crawley 0-2 Doncaster </v>
      </c>
      <c r="G30" s="32" t="str">
        <f t="shared" si="0"/>
        <v>Crawley</v>
      </c>
      <c r="H30" s="33" t="str">
        <f t="shared" si="1"/>
        <v>23/20</v>
      </c>
      <c r="I30" s="174">
        <f t="shared" si="3"/>
        <v>2.15</v>
      </c>
      <c r="J30" s="33">
        <f>INDEX(Picks!T:T,MATCH(G30,Picks!R:R,0))</f>
        <v>0</v>
      </c>
      <c r="K30" s="33">
        <f>IF(INDEX(Match!P:P,MATCH(A30,Match!A:A,0))="OFF",0,1)</f>
        <v>1</v>
      </c>
      <c r="L30" t="str">
        <f>INDEX(Match!Q:Q,MATCH(E30,Match!U:U,0))</f>
        <v>Crawley</v>
      </c>
      <c r="M30" t="str">
        <f>INDEX(Match!X:X,MATCH(E30,Match!U:U,0))</f>
        <v>23/20</v>
      </c>
      <c r="N30" t="str">
        <f>INDEX(Match!R:R,MATCH(E30,Match!U:U,0))</f>
        <v>Doncaster</v>
      </c>
      <c r="O30" t="str">
        <f>INDEX(Match!Y:Y,MATCH(E30,Match!U:U,0))</f>
        <v>13/5</v>
      </c>
      <c r="P30" t="str">
        <f>INDEX(Match!Z:Z,MATCH(E30,Match!U:U,0))</f>
        <v>2/1</v>
      </c>
      <c r="Q30" s="171">
        <f>INDEX(Match!AA:AA,MATCH(E30,Match!U:U,0))</f>
        <v>2.15</v>
      </c>
      <c r="R30" s="171">
        <f>INDEX(Match!AB:AB,MATCH(E30,Match!U:U,0))</f>
        <v>3.6</v>
      </c>
      <c r="S30" s="171">
        <f>INDEX(Match!AC:AC,MATCH(E30,Match!U:U,0))</f>
        <v>3</v>
      </c>
    </row>
    <row r="31" spans="1:19">
      <c r="A31" s="4">
        <v>30</v>
      </c>
      <c r="B31" s="90">
        <f>IF(Match!B31="","",Match!B31)</f>
        <v>45380</v>
      </c>
      <c r="C31" s="503">
        <f t="shared" si="2"/>
        <v>6</v>
      </c>
      <c r="D31" s="59" t="str">
        <f>IF(Match!D31="","",Match!D31)</f>
        <v>League 2</v>
      </c>
      <c r="E31" s="58" t="str">
        <f>IF(Match!U31="","",Match!U31)</f>
        <v>Forest Green  v  Stockport   4/1  14/5  13/20</v>
      </c>
      <c r="F31" s="58" t="str">
        <f>IF(Match!V31="","",Match!V31)</f>
        <v xml:space="preserve">Forest Green 0-3 Stockport </v>
      </c>
      <c r="G31" s="32" t="str">
        <f t="shared" si="0"/>
        <v>Forest Green</v>
      </c>
      <c r="H31" s="33" t="str">
        <f t="shared" si="1"/>
        <v>4/1</v>
      </c>
      <c r="I31" s="174">
        <f t="shared" si="3"/>
        <v>5</v>
      </c>
      <c r="J31" s="33">
        <f>INDEX(Picks!T:T,MATCH(G31,Picks!R:R,0))</f>
        <v>0</v>
      </c>
      <c r="K31" s="33">
        <f>IF(INDEX(Match!P:P,MATCH(A31,Match!A:A,0))="OFF",0,1)</f>
        <v>1</v>
      </c>
      <c r="L31" t="str">
        <f>INDEX(Match!Q:Q,MATCH(E31,Match!U:U,0))</f>
        <v>Forest Green</v>
      </c>
      <c r="M31" t="str">
        <f>INDEX(Match!X:X,MATCH(E31,Match!U:U,0))</f>
        <v>4/1</v>
      </c>
      <c r="N31" t="str">
        <f>INDEX(Match!R:R,MATCH(E31,Match!U:U,0))</f>
        <v>Stockport</v>
      </c>
      <c r="O31" t="str">
        <f>INDEX(Match!Y:Y,MATCH(E31,Match!U:U,0))</f>
        <v>14/5</v>
      </c>
      <c r="P31" t="str">
        <f>INDEX(Match!Z:Z,MATCH(E31,Match!U:U,0))</f>
        <v>13/20</v>
      </c>
      <c r="Q31" s="171">
        <f>INDEX(Match!AA:AA,MATCH(E31,Match!U:U,0))</f>
        <v>5</v>
      </c>
      <c r="R31" s="171">
        <f>INDEX(Match!AB:AB,MATCH(E31,Match!U:U,0))</f>
        <v>3.8</v>
      </c>
      <c r="S31" s="171">
        <f>INDEX(Match!AC:AC,MATCH(E31,Match!U:U,0))</f>
        <v>1.65</v>
      </c>
    </row>
    <row r="32" spans="1:19">
      <c r="A32" s="4">
        <v>31</v>
      </c>
      <c r="B32" s="90">
        <f>IF(Match!B32="","",Match!B32)</f>
        <v>45380</v>
      </c>
      <c r="C32" s="503">
        <f t="shared" si="2"/>
        <v>6</v>
      </c>
      <c r="D32" s="59" t="str">
        <f>IF(Match!D32="","",Match!D32)</f>
        <v>League 2</v>
      </c>
      <c r="E32" s="58" t="str">
        <f>IF(Match!U32="","",Match!U32)</f>
        <v>Gillingham  v  Crewe   1/1  5/2  5/2</v>
      </c>
      <c r="F32" s="58" t="str">
        <f>IF(Match!V32="","",Match!V32)</f>
        <v xml:space="preserve">Gillingham 0-0 Crewe </v>
      </c>
      <c r="G32" s="32" t="str">
        <f t="shared" si="0"/>
        <v>Gillingham</v>
      </c>
      <c r="H32" s="33" t="str">
        <f t="shared" si="1"/>
        <v>1/1</v>
      </c>
      <c r="I32" s="174">
        <f t="shared" si="3"/>
        <v>2</v>
      </c>
      <c r="J32" s="33">
        <f>INDEX(Picks!T:T,MATCH(G32,Picks!R:R,0))</f>
        <v>0</v>
      </c>
      <c r="K32" s="33">
        <f>IF(INDEX(Match!P:P,MATCH(A32,Match!A:A,0))="OFF",0,1)</f>
        <v>1</v>
      </c>
      <c r="L32" t="str">
        <f>INDEX(Match!Q:Q,MATCH(E32,Match!U:U,0))</f>
        <v>Gillingham</v>
      </c>
      <c r="M32" t="str">
        <f>INDEX(Match!X:X,MATCH(E32,Match!U:U,0))</f>
        <v>1/1</v>
      </c>
      <c r="N32" t="str">
        <f>INDEX(Match!R:R,MATCH(E32,Match!U:U,0))</f>
        <v>Crewe</v>
      </c>
      <c r="O32" t="str">
        <f>INDEX(Match!Y:Y,MATCH(E32,Match!U:U,0))</f>
        <v>5/2</v>
      </c>
      <c r="P32" t="str">
        <f>INDEX(Match!Z:Z,MATCH(E32,Match!U:U,0))</f>
        <v>5/2</v>
      </c>
      <c r="Q32" s="171">
        <f>INDEX(Match!AA:AA,MATCH(E32,Match!U:U,0))</f>
        <v>2</v>
      </c>
      <c r="R32" s="171">
        <f>INDEX(Match!AB:AB,MATCH(E32,Match!U:U,0))</f>
        <v>3.5</v>
      </c>
      <c r="S32" s="171">
        <f>INDEX(Match!AC:AC,MATCH(E32,Match!U:U,0))</f>
        <v>3.5</v>
      </c>
    </row>
    <row r="33" spans="1:19">
      <c r="A33" s="4">
        <v>32</v>
      </c>
      <c r="B33" s="90">
        <f>IF(Match!B33="","",Match!B33)</f>
        <v>45380</v>
      </c>
      <c r="C33" s="503">
        <f t="shared" si="2"/>
        <v>6</v>
      </c>
      <c r="D33" s="59" t="str">
        <f>IF(Match!D33="","",Match!D33)</f>
        <v>League 2</v>
      </c>
      <c r="E33" s="58" t="str">
        <f>IF(Match!U33="","",Match!U33)</f>
        <v>MK Dons  v  Walsall   10/11  27/10  13/5</v>
      </c>
      <c r="F33" s="58" t="str">
        <f>IF(Match!V33="","",Match!V33)</f>
        <v xml:space="preserve">MK Dons 5-0 Walsall </v>
      </c>
      <c r="G33" s="32" t="str">
        <f t="shared" ref="G33:G46" si="4">IF(E33="","",L33)</f>
        <v>MK Dons</v>
      </c>
      <c r="H33" s="33" t="str">
        <f t="shared" si="1"/>
        <v>10/11</v>
      </c>
      <c r="I33" s="174">
        <f t="shared" si="3"/>
        <v>1.9090909090909092</v>
      </c>
      <c r="J33" s="33">
        <f>INDEX(Picks!T:T,MATCH(G33,Picks!R:R,0))</f>
        <v>1</v>
      </c>
      <c r="K33" s="33">
        <f>IF(INDEX(Match!P:P,MATCH(A33,Match!A:A,0))="OFF",0,1)</f>
        <v>1</v>
      </c>
      <c r="L33" t="str">
        <f>INDEX(Match!Q:Q,MATCH(E33,Match!U:U,0))</f>
        <v>MK Dons</v>
      </c>
      <c r="M33" t="str">
        <f>INDEX(Match!X:X,MATCH(E33,Match!U:U,0))</f>
        <v>10/11</v>
      </c>
      <c r="N33" t="str">
        <f>INDEX(Match!R:R,MATCH(E33,Match!U:U,0))</f>
        <v>Walsall</v>
      </c>
      <c r="O33" t="str">
        <f>INDEX(Match!Y:Y,MATCH(E33,Match!U:U,0))</f>
        <v>27/10</v>
      </c>
      <c r="P33" t="str">
        <f>INDEX(Match!Z:Z,MATCH(E33,Match!U:U,0))</f>
        <v>13/5</v>
      </c>
      <c r="Q33" s="171">
        <f>INDEX(Match!AA:AA,MATCH(E33,Match!U:U,0))</f>
        <v>1.9090909090909092</v>
      </c>
      <c r="R33" s="171">
        <f>INDEX(Match!AB:AB,MATCH(E33,Match!U:U,0))</f>
        <v>3.7</v>
      </c>
      <c r="S33" s="171">
        <f>INDEX(Match!AC:AC,MATCH(E33,Match!U:U,0))</f>
        <v>3.6</v>
      </c>
    </row>
    <row r="34" spans="1:19">
      <c r="A34" s="4">
        <v>33</v>
      </c>
      <c r="B34" s="90">
        <f>IF(Match!B34="","",Match!B34)</f>
        <v>45380</v>
      </c>
      <c r="C34" s="503">
        <f t="shared" si="2"/>
        <v>6</v>
      </c>
      <c r="D34" s="59" t="str">
        <f>IF(Match!D34="","",Match!D34)</f>
        <v>League 2</v>
      </c>
      <c r="E34" s="58" t="str">
        <f>IF(Match!U34="","",Match!U34)</f>
        <v>Salford  v  Sutton   4/5  14/5  3/1</v>
      </c>
      <c r="F34" s="58" t="str">
        <f>IF(Match!V34="","",Match!V34)</f>
        <v xml:space="preserve">Salford 1-2 Sutton </v>
      </c>
      <c r="G34" s="32" t="str">
        <f t="shared" si="4"/>
        <v>Salford</v>
      </c>
      <c r="H34" s="33" t="str">
        <f t="shared" si="1"/>
        <v>4/5</v>
      </c>
      <c r="I34" s="174">
        <f t="shared" si="3"/>
        <v>1.8</v>
      </c>
      <c r="J34" s="33">
        <f>INDEX(Picks!T:T,MATCH(G34,Picks!R:R,0))</f>
        <v>0</v>
      </c>
      <c r="K34" s="33">
        <f>IF(INDEX(Match!P:P,MATCH(A34,Match!A:A,0))="OFF",0,1)</f>
        <v>1</v>
      </c>
      <c r="L34" t="str">
        <f>INDEX(Match!Q:Q,MATCH(E34,Match!U:U,0))</f>
        <v>Salford</v>
      </c>
      <c r="M34" t="str">
        <f>INDEX(Match!X:X,MATCH(E34,Match!U:U,0))</f>
        <v>4/5</v>
      </c>
      <c r="N34" t="str">
        <f>INDEX(Match!R:R,MATCH(E34,Match!U:U,0))</f>
        <v>Sutton</v>
      </c>
      <c r="O34" t="str">
        <f>INDEX(Match!Y:Y,MATCH(E34,Match!U:U,0))</f>
        <v>14/5</v>
      </c>
      <c r="P34" t="str">
        <f>INDEX(Match!Z:Z,MATCH(E34,Match!U:U,0))</f>
        <v>3/1</v>
      </c>
      <c r="Q34" s="171">
        <f>INDEX(Match!AA:AA,MATCH(E34,Match!U:U,0))</f>
        <v>1.8</v>
      </c>
      <c r="R34" s="171">
        <f>INDEX(Match!AB:AB,MATCH(E34,Match!U:U,0))</f>
        <v>3.8</v>
      </c>
      <c r="S34" s="171">
        <f>INDEX(Match!AC:AC,MATCH(E34,Match!U:U,0))</f>
        <v>4</v>
      </c>
    </row>
    <row r="35" spans="1:19">
      <c r="A35" s="4">
        <v>34</v>
      </c>
      <c r="B35" s="90">
        <f>IF(Match!B35="","",Match!B35)</f>
        <v>45380</v>
      </c>
      <c r="C35" s="503">
        <f t="shared" si="2"/>
        <v>6</v>
      </c>
      <c r="D35" s="59" t="str">
        <f>IF(Match!D35="","",Match!D35)</f>
        <v>League 2</v>
      </c>
      <c r="E35" s="58" t="str">
        <f>IF(Match!U35="","",Match!U35)</f>
        <v>Swindon  v  Notts Co   5/4  29/10  17/10</v>
      </c>
      <c r="F35" s="58" t="str">
        <f>IF(Match!V35="","",Match!V35)</f>
        <v xml:space="preserve">Swindon 2-1 Notts Co </v>
      </c>
      <c r="G35" s="32" t="str">
        <f t="shared" si="4"/>
        <v>Swindon</v>
      </c>
      <c r="H35" s="33" t="str">
        <f t="shared" si="1"/>
        <v>5/4</v>
      </c>
      <c r="I35" s="174">
        <f t="shared" si="3"/>
        <v>2.25</v>
      </c>
      <c r="J35" s="33">
        <f>INDEX(Picks!T:T,MATCH(G35,Picks!R:R,0))</f>
        <v>1</v>
      </c>
      <c r="K35" s="33">
        <f>IF(INDEX(Match!P:P,MATCH(A35,Match!A:A,0))="OFF",0,1)</f>
        <v>1</v>
      </c>
      <c r="L35" t="str">
        <f>INDEX(Match!Q:Q,MATCH(E35,Match!U:U,0))</f>
        <v>Swindon</v>
      </c>
      <c r="M35" t="str">
        <f>INDEX(Match!X:X,MATCH(E35,Match!U:U,0))</f>
        <v>5/4</v>
      </c>
      <c r="N35" t="str">
        <f>INDEX(Match!R:R,MATCH(E35,Match!U:U,0))</f>
        <v>Notts Co</v>
      </c>
      <c r="O35" t="str">
        <f>INDEX(Match!Y:Y,MATCH(E35,Match!U:U,0))</f>
        <v>29/10</v>
      </c>
      <c r="P35" t="str">
        <f>INDEX(Match!Z:Z,MATCH(E35,Match!U:U,0))</f>
        <v>17/10</v>
      </c>
      <c r="Q35" s="171">
        <f>INDEX(Match!AA:AA,MATCH(E35,Match!U:U,0))</f>
        <v>2.25</v>
      </c>
      <c r="R35" s="171">
        <f>INDEX(Match!AB:AB,MATCH(E35,Match!U:U,0))</f>
        <v>3.9</v>
      </c>
      <c r="S35" s="171">
        <f>INDEX(Match!AC:AC,MATCH(E35,Match!U:U,0))</f>
        <v>2.7</v>
      </c>
    </row>
    <row r="36" spans="1:19">
      <c r="A36" s="4">
        <v>35</v>
      </c>
      <c r="B36" s="90">
        <f>IF(Match!B36="","",Match!B36)</f>
        <v>45380</v>
      </c>
      <c r="C36" s="503">
        <f t="shared" si="2"/>
        <v>6</v>
      </c>
      <c r="D36" s="59" t="str">
        <f>IF(Match!D36="","",Match!D36)</f>
        <v>League 2</v>
      </c>
      <c r="E36" s="58" t="str">
        <f>IF(Match!U36="","",Match!U36)</f>
        <v>Wimbledon  v  Harrogate   8/15  3/1  24/5</v>
      </c>
      <c r="F36" s="58" t="str">
        <f>IF(Match!V36="","",Match!V36)</f>
        <v xml:space="preserve">Wimbledon 1-1 Harrogate </v>
      </c>
      <c r="G36" s="32" t="str">
        <f t="shared" si="4"/>
        <v>Wimbledon</v>
      </c>
      <c r="H36" s="33" t="str">
        <f t="shared" si="1"/>
        <v>8/15</v>
      </c>
      <c r="I36" s="174">
        <f t="shared" si="3"/>
        <v>1.5333333333333332</v>
      </c>
      <c r="J36" s="33">
        <f>INDEX(Picks!T:T,MATCH(G36,Picks!R:R,0))</f>
        <v>0</v>
      </c>
      <c r="K36" s="33">
        <f>IF(INDEX(Match!P:P,MATCH(A36,Match!A:A,0))="OFF",0,1)</f>
        <v>1</v>
      </c>
      <c r="L36" t="str">
        <f>INDEX(Match!Q:Q,MATCH(E36,Match!U:U,0))</f>
        <v>Wimbledon</v>
      </c>
      <c r="M36" t="str">
        <f>INDEX(Match!X:X,MATCH(E36,Match!U:U,0))</f>
        <v>8/15</v>
      </c>
      <c r="N36" t="str">
        <f>INDEX(Match!R:R,MATCH(E36,Match!U:U,0))</f>
        <v>Harrogate</v>
      </c>
      <c r="O36" t="str">
        <f>INDEX(Match!Y:Y,MATCH(E36,Match!U:U,0))</f>
        <v>3/1</v>
      </c>
      <c r="P36" t="str">
        <f>INDEX(Match!Z:Z,MATCH(E36,Match!U:U,0))</f>
        <v>24/5</v>
      </c>
      <c r="Q36" s="171">
        <f>INDEX(Match!AA:AA,MATCH(E36,Match!U:U,0))</f>
        <v>1.5333333333333332</v>
      </c>
      <c r="R36" s="171">
        <f>INDEX(Match!AB:AB,MATCH(E36,Match!U:U,0))</f>
        <v>4</v>
      </c>
      <c r="S36" s="171">
        <f>INDEX(Match!AC:AC,MATCH(E36,Match!U:U,0))</f>
        <v>5.8</v>
      </c>
    </row>
    <row r="37" spans="1:19">
      <c r="A37" s="4">
        <v>36</v>
      </c>
      <c r="B37" s="90">
        <f>IF(Match!B37="","",Match!B37)</f>
        <v>45380</v>
      </c>
      <c r="C37" s="503">
        <f t="shared" si="2"/>
        <v>6</v>
      </c>
      <c r="D37" s="59" t="str">
        <f>IF(Match!D37="","",Match!D37)</f>
        <v>League 2</v>
      </c>
      <c r="E37" s="58" t="str">
        <f>IF(Match!U37="","",Match!U37)</f>
        <v>Wrexham  v  Mansfield   13/10  13/5  7/4</v>
      </c>
      <c r="F37" s="58" t="str">
        <f>IF(Match!V37="","",Match!V37)</f>
        <v xml:space="preserve">Wrexham 2-0 Mansfield </v>
      </c>
      <c r="G37" s="32" t="str">
        <f t="shared" si="4"/>
        <v>Wrexham</v>
      </c>
      <c r="H37" s="33" t="str">
        <f t="shared" si="1"/>
        <v>13/10</v>
      </c>
      <c r="I37" s="174">
        <f t="shared" si="3"/>
        <v>2.2999999999999998</v>
      </c>
      <c r="J37" s="33">
        <f>INDEX(Picks!T:T,MATCH(G37,Picks!R:R,0))</f>
        <v>1</v>
      </c>
      <c r="K37" s="33">
        <f>IF(INDEX(Match!P:P,MATCH(A37,Match!A:A,0))="OFF",0,1)</f>
        <v>1</v>
      </c>
      <c r="L37" t="str">
        <f>INDEX(Match!Q:Q,MATCH(E37,Match!U:U,0))</f>
        <v>Wrexham</v>
      </c>
      <c r="M37" t="str">
        <f>INDEX(Match!X:X,MATCH(E37,Match!U:U,0))</f>
        <v>13/10</v>
      </c>
      <c r="N37" t="str">
        <f>INDEX(Match!R:R,MATCH(E37,Match!U:U,0))</f>
        <v>Mansfield</v>
      </c>
      <c r="O37" t="str">
        <f>INDEX(Match!Y:Y,MATCH(E37,Match!U:U,0))</f>
        <v>13/5</v>
      </c>
      <c r="P37" t="str">
        <f>INDEX(Match!Z:Z,MATCH(E37,Match!U:U,0))</f>
        <v>7/4</v>
      </c>
      <c r="Q37" s="171">
        <f>INDEX(Match!AA:AA,MATCH(E37,Match!U:U,0))</f>
        <v>2.2999999999999998</v>
      </c>
      <c r="R37" s="171">
        <f>INDEX(Match!AB:AB,MATCH(E37,Match!U:U,0))</f>
        <v>3.6</v>
      </c>
      <c r="S37" s="171">
        <f>INDEX(Match!AC:AC,MATCH(E37,Match!U:U,0))</f>
        <v>2.75</v>
      </c>
    </row>
    <row r="38" spans="1:19">
      <c r="A38" s="4">
        <v>37</v>
      </c>
      <c r="B38" s="90">
        <f>IF(Match!B38="","",Match!B38)</f>
        <v>45381</v>
      </c>
      <c r="C38" s="503">
        <f t="shared" si="2"/>
        <v>7</v>
      </c>
      <c r="D38" s="59" t="str">
        <f>IF(Match!D38="","",Match!D38)</f>
        <v>Premier</v>
      </c>
      <c r="E38" s="58" t="str">
        <f>IF(Match!U38="","",Match!U38)</f>
        <v>Bournemouth  v  Everton   11/10  27/10  11/5</v>
      </c>
      <c r="F38" s="58" t="str">
        <f>IF(Match!V38="","",Match!V38)</f>
        <v xml:space="preserve">Bournemouth 2-1 Everton </v>
      </c>
      <c r="G38" s="32" t="str">
        <f t="shared" si="4"/>
        <v>Bournemouth</v>
      </c>
      <c r="H38" s="33" t="str">
        <f t="shared" si="1"/>
        <v>11/10</v>
      </c>
      <c r="I38" s="174">
        <f t="shared" si="3"/>
        <v>2.1</v>
      </c>
      <c r="J38" s="33">
        <f>INDEX(Picks!T:T,MATCH(G38,Picks!R:R,0))</f>
        <v>1</v>
      </c>
      <c r="K38" s="33">
        <f>IF(INDEX(Match!P:P,MATCH(A38,Match!A:A,0))="OFF",0,1)</f>
        <v>1</v>
      </c>
      <c r="L38" t="str">
        <f>INDEX(Match!Q:Q,MATCH(E38,Match!U:U,0))</f>
        <v>Bournemouth</v>
      </c>
      <c r="M38" t="str">
        <f>INDEX(Match!X:X,MATCH(E38,Match!U:U,0))</f>
        <v>11/10</v>
      </c>
      <c r="N38" t="str">
        <f>INDEX(Match!R:R,MATCH(E38,Match!U:U,0))</f>
        <v>Everton</v>
      </c>
      <c r="O38" t="str">
        <f>INDEX(Match!Y:Y,MATCH(E38,Match!U:U,0))</f>
        <v>27/10</v>
      </c>
      <c r="P38" t="str">
        <f>INDEX(Match!Z:Z,MATCH(E38,Match!U:U,0))</f>
        <v>11/5</v>
      </c>
      <c r="Q38" s="171">
        <f>INDEX(Match!AA:AA,MATCH(E38,Match!U:U,0))</f>
        <v>2.1</v>
      </c>
      <c r="R38" s="171">
        <f>INDEX(Match!AB:AB,MATCH(E38,Match!U:U,0))</f>
        <v>3.7</v>
      </c>
      <c r="S38" s="171">
        <f>INDEX(Match!AC:AC,MATCH(E38,Match!U:U,0))</f>
        <v>3.2</v>
      </c>
    </row>
    <row r="39" spans="1:19">
      <c r="A39" s="4">
        <v>38</v>
      </c>
      <c r="B39" s="90">
        <f>IF(Match!B39="","",Match!B39)</f>
        <v>45381</v>
      </c>
      <c r="C39" s="503">
        <f t="shared" si="2"/>
        <v>7</v>
      </c>
      <c r="D39" s="59" t="str">
        <f>IF(Match!D39="","",Match!D39)</f>
        <v>Premier</v>
      </c>
      <c r="E39" s="58" t="str">
        <f>IF(Match!U39="","",Match!U39)</f>
        <v>Brentford  v  Man U   19/10  14/5  6/5</v>
      </c>
      <c r="F39" s="58" t="str">
        <f>IF(Match!V39="","",Match!V39)</f>
        <v xml:space="preserve">Brentford 1-1 Man U </v>
      </c>
      <c r="G39" s="32" t="str">
        <f t="shared" si="4"/>
        <v>Brentford</v>
      </c>
      <c r="H39" s="33" t="str">
        <f t="shared" si="1"/>
        <v>19/10</v>
      </c>
      <c r="I39" s="174">
        <f t="shared" si="3"/>
        <v>2.9</v>
      </c>
      <c r="J39" s="33">
        <f>INDEX(Picks!T:T,MATCH(G39,Picks!R:R,0))</f>
        <v>0</v>
      </c>
      <c r="K39" s="33">
        <f>IF(INDEX(Match!P:P,MATCH(A39,Match!A:A,0))="OFF",0,1)</f>
        <v>1</v>
      </c>
      <c r="L39" t="str">
        <f>INDEX(Match!Q:Q,MATCH(E39,Match!U:U,0))</f>
        <v>Brentford</v>
      </c>
      <c r="M39" t="str">
        <f>INDEX(Match!X:X,MATCH(E39,Match!U:U,0))</f>
        <v>19/10</v>
      </c>
      <c r="N39" t="str">
        <f>INDEX(Match!R:R,MATCH(E39,Match!U:U,0))</f>
        <v>Man U</v>
      </c>
      <c r="O39" t="str">
        <f>INDEX(Match!Y:Y,MATCH(E39,Match!U:U,0))</f>
        <v>14/5</v>
      </c>
      <c r="P39" t="str">
        <f>INDEX(Match!Z:Z,MATCH(E39,Match!U:U,0))</f>
        <v>6/5</v>
      </c>
      <c r="Q39" s="171">
        <f>INDEX(Match!AA:AA,MATCH(E39,Match!U:U,0))</f>
        <v>2.9</v>
      </c>
      <c r="R39" s="171">
        <f>INDEX(Match!AB:AB,MATCH(E39,Match!U:U,0))</f>
        <v>3.8</v>
      </c>
      <c r="S39" s="171">
        <f>INDEX(Match!AC:AC,MATCH(E39,Match!U:U,0))</f>
        <v>2.2000000000000002</v>
      </c>
    </row>
    <row r="40" spans="1:19">
      <c r="A40" s="4">
        <v>39</v>
      </c>
      <c r="B40" s="90">
        <f>IF(Match!B40="","",Match!B40)</f>
        <v>45381</v>
      </c>
      <c r="C40" s="503">
        <f t="shared" si="2"/>
        <v>7</v>
      </c>
      <c r="D40" s="59" t="str">
        <f>IF(Match!D40="","",Match!D40)</f>
        <v>Premier</v>
      </c>
      <c r="E40" s="58" t="str">
        <f>IF(Match!U40="","",Match!U40)</f>
        <v>Chelsea  v  Burnley   2/7  24/5  8/1</v>
      </c>
      <c r="F40" s="58" t="str">
        <f>IF(Match!V40="","",Match!V40)</f>
        <v xml:space="preserve">Chelsea 2-2 Burnley </v>
      </c>
      <c r="G40" s="32" t="str">
        <f t="shared" si="4"/>
        <v>Chelsea</v>
      </c>
      <c r="H40" s="33" t="str">
        <f t="shared" si="1"/>
        <v>2/7</v>
      </c>
      <c r="I40" s="174">
        <f t="shared" si="3"/>
        <v>1.2857142857142856</v>
      </c>
      <c r="J40" s="33">
        <f>INDEX(Picks!T:T,MATCH(G40,Picks!R:R,0))</f>
        <v>0</v>
      </c>
      <c r="K40" s="33">
        <f>IF(INDEX(Match!P:P,MATCH(A40,Match!A:A,0))="OFF",0,1)</f>
        <v>1</v>
      </c>
      <c r="L40" t="str">
        <f>INDEX(Match!Q:Q,MATCH(E40,Match!U:U,0))</f>
        <v>Chelsea</v>
      </c>
      <c r="M40" t="str">
        <f>INDEX(Match!X:X,MATCH(E40,Match!U:U,0))</f>
        <v>2/7</v>
      </c>
      <c r="N40" t="str">
        <f>INDEX(Match!R:R,MATCH(E40,Match!U:U,0))</f>
        <v>Burnley</v>
      </c>
      <c r="O40" t="str">
        <f>INDEX(Match!Y:Y,MATCH(E40,Match!U:U,0))</f>
        <v>24/5</v>
      </c>
      <c r="P40" t="str">
        <f>INDEX(Match!Z:Z,MATCH(E40,Match!U:U,0))</f>
        <v>8/1</v>
      </c>
      <c r="Q40" s="171">
        <f>INDEX(Match!AA:AA,MATCH(E40,Match!U:U,0))</f>
        <v>1.2857142857142856</v>
      </c>
      <c r="R40" s="171">
        <f>INDEX(Match!AB:AB,MATCH(E40,Match!U:U,0))</f>
        <v>5.8</v>
      </c>
      <c r="S40" s="171">
        <f>INDEX(Match!AC:AC,MATCH(E40,Match!U:U,0))</f>
        <v>9</v>
      </c>
    </row>
    <row r="41" spans="1:19">
      <c r="A41" s="4">
        <v>40</v>
      </c>
      <c r="B41" s="90">
        <f>IF(Match!B41="","",Match!B41)</f>
        <v>45381</v>
      </c>
      <c r="C41" s="503">
        <f t="shared" si="2"/>
        <v>7</v>
      </c>
      <c r="D41" s="59" t="str">
        <f>IF(Match!D41="","",Match!D41)</f>
        <v>Premier</v>
      </c>
      <c r="E41" s="58" t="str">
        <f>IF(Match!U41="","",Match!U41)</f>
        <v>Forest  v  Palace   6/5  12/5  11/5</v>
      </c>
      <c r="F41" s="58" t="str">
        <f>IF(Match!V41="","",Match!V41)</f>
        <v xml:space="preserve">Forest 1-1 Palace </v>
      </c>
      <c r="G41" s="32" t="str">
        <f t="shared" si="4"/>
        <v>Forest</v>
      </c>
      <c r="H41" s="33" t="str">
        <f t="shared" si="1"/>
        <v>6/5</v>
      </c>
      <c r="I41" s="174">
        <f t="shared" si="3"/>
        <v>2.2000000000000002</v>
      </c>
      <c r="J41" s="33">
        <f>INDEX(Picks!T:T,MATCH(G41,Picks!R:R,0))</f>
        <v>0</v>
      </c>
      <c r="K41" s="33">
        <f>IF(INDEX(Match!P:P,MATCH(A41,Match!A:A,0))="OFF",0,1)</f>
        <v>1</v>
      </c>
      <c r="L41" t="str">
        <f>INDEX(Match!Q:Q,MATCH(E41,Match!U:U,0))</f>
        <v>Forest</v>
      </c>
      <c r="M41" t="str">
        <f>INDEX(Match!X:X,MATCH(E41,Match!U:U,0))</f>
        <v>6/5</v>
      </c>
      <c r="N41" t="str">
        <f>INDEX(Match!R:R,MATCH(E41,Match!U:U,0))</f>
        <v>Palace</v>
      </c>
      <c r="O41" t="str">
        <f>INDEX(Match!Y:Y,MATCH(E41,Match!U:U,0))</f>
        <v>12/5</v>
      </c>
      <c r="P41" t="str">
        <f>INDEX(Match!Z:Z,MATCH(E41,Match!U:U,0))</f>
        <v>11/5</v>
      </c>
      <c r="Q41" s="171">
        <f>INDEX(Match!AA:AA,MATCH(E41,Match!U:U,0))</f>
        <v>2.2000000000000002</v>
      </c>
      <c r="R41" s="171">
        <f>INDEX(Match!AB:AB,MATCH(E41,Match!U:U,0))</f>
        <v>3.4</v>
      </c>
      <c r="S41" s="171">
        <f>INDEX(Match!AC:AC,MATCH(E41,Match!U:U,0))</f>
        <v>3.2</v>
      </c>
    </row>
    <row r="42" spans="1:19">
      <c r="A42" s="4">
        <v>41</v>
      </c>
      <c r="B42" s="90">
        <f>IF(Match!B42="","",Match!B42)</f>
        <v>45381</v>
      </c>
      <c r="C42" s="503">
        <f t="shared" si="2"/>
        <v>7</v>
      </c>
      <c r="D42" s="59" t="str">
        <f>IF(Match!D42="","",Match!D42)</f>
        <v>Premier</v>
      </c>
      <c r="E42" s="58" t="str">
        <f>IF(Match!U42="","",Match!U42)</f>
        <v>Newcastle  v  West Ham   17/20  3/1  27/10</v>
      </c>
      <c r="F42" s="58" t="str">
        <f>IF(Match!V42="","",Match!V42)</f>
        <v xml:space="preserve">Newcastle 4-3 West Ham </v>
      </c>
      <c r="G42" s="32" t="str">
        <f t="shared" si="4"/>
        <v>Newcastle</v>
      </c>
      <c r="H42" s="33" t="str">
        <f t="shared" si="1"/>
        <v>17/20</v>
      </c>
      <c r="I42" s="174">
        <f t="shared" si="3"/>
        <v>1.85</v>
      </c>
      <c r="J42" s="33">
        <f>INDEX(Picks!T:T,MATCH(G42,Picks!R:R,0))</f>
        <v>1</v>
      </c>
      <c r="K42" s="33">
        <f>IF(INDEX(Match!P:P,MATCH(A42,Match!A:A,0))="OFF",0,1)</f>
        <v>1</v>
      </c>
      <c r="L42" t="str">
        <f>INDEX(Match!Q:Q,MATCH(E42,Match!U:U,0))</f>
        <v>Newcastle</v>
      </c>
      <c r="M42" t="str">
        <f>INDEX(Match!X:X,MATCH(E42,Match!U:U,0))</f>
        <v>17/20</v>
      </c>
      <c r="N42" t="str">
        <f>INDEX(Match!R:R,MATCH(E42,Match!U:U,0))</f>
        <v>West Ham</v>
      </c>
      <c r="O42" t="str">
        <f>INDEX(Match!Y:Y,MATCH(E42,Match!U:U,0))</f>
        <v>3/1</v>
      </c>
      <c r="P42" t="str">
        <f>INDEX(Match!Z:Z,MATCH(E42,Match!U:U,0))</f>
        <v>27/10</v>
      </c>
      <c r="Q42" s="171">
        <f>INDEX(Match!AA:AA,MATCH(E42,Match!U:U,0))</f>
        <v>1.85</v>
      </c>
      <c r="R42" s="171">
        <f>INDEX(Match!AB:AB,MATCH(E42,Match!U:U,0))</f>
        <v>4</v>
      </c>
      <c r="S42" s="171">
        <f>INDEX(Match!AC:AC,MATCH(E42,Match!U:U,0))</f>
        <v>3.7</v>
      </c>
    </row>
    <row r="43" spans="1:19">
      <c r="A43" s="4">
        <v>42</v>
      </c>
      <c r="B43" s="90">
        <f>IF(Match!B43="","",Match!B43)</f>
        <v>45381</v>
      </c>
      <c r="C43" s="503">
        <f t="shared" si="2"/>
        <v>7</v>
      </c>
      <c r="D43" s="59" t="str">
        <f>IF(Match!D43="","",Match!D43)</f>
        <v>Premier</v>
      </c>
      <c r="E43" s="58" t="str">
        <f>IF(Match!U43="","",Match!U43)</f>
        <v>Sheff U  v  Fulham   7/2  3/1  7/10</v>
      </c>
      <c r="F43" s="58" t="str">
        <f>IF(Match!V43="","",Match!V43)</f>
        <v xml:space="preserve">Sheff U 3-3 Fulham </v>
      </c>
      <c r="G43" s="32" t="str">
        <f t="shared" si="4"/>
        <v>Sheff U</v>
      </c>
      <c r="H43" s="33" t="str">
        <f t="shared" si="1"/>
        <v>7/2</v>
      </c>
      <c r="I43" s="174">
        <f t="shared" si="3"/>
        <v>4.5</v>
      </c>
      <c r="J43" s="33">
        <f>INDEX(Picks!T:T,MATCH(G43,Picks!R:R,0))</f>
        <v>0</v>
      </c>
      <c r="K43" s="33">
        <f>IF(INDEX(Match!P:P,MATCH(A43,Match!A:A,0))="OFF",0,1)</f>
        <v>1</v>
      </c>
      <c r="L43" t="str">
        <f>INDEX(Match!Q:Q,MATCH(E43,Match!U:U,0))</f>
        <v>Sheff U</v>
      </c>
      <c r="M43" t="str">
        <f>INDEX(Match!X:X,MATCH(E43,Match!U:U,0))</f>
        <v>7/2</v>
      </c>
      <c r="N43" t="str">
        <f>INDEX(Match!R:R,MATCH(E43,Match!U:U,0))</f>
        <v>Fulham</v>
      </c>
      <c r="O43" t="str">
        <f>INDEX(Match!Y:Y,MATCH(E43,Match!U:U,0))</f>
        <v>3/1</v>
      </c>
      <c r="P43" t="str">
        <f>INDEX(Match!Z:Z,MATCH(E43,Match!U:U,0))</f>
        <v>7/10</v>
      </c>
      <c r="Q43" s="171">
        <f>INDEX(Match!AA:AA,MATCH(E43,Match!U:U,0))</f>
        <v>4.5</v>
      </c>
      <c r="R43" s="171">
        <f>INDEX(Match!AB:AB,MATCH(E43,Match!U:U,0))</f>
        <v>4</v>
      </c>
      <c r="S43" s="171">
        <f>INDEX(Match!AC:AC,MATCH(E43,Match!U:U,0))</f>
        <v>1.7</v>
      </c>
    </row>
    <row r="44" spans="1:19">
      <c r="A44" s="4">
        <v>43</v>
      </c>
      <c r="B44" s="90">
        <f>IF(Match!B44="","",Match!B44)</f>
        <v>45381</v>
      </c>
      <c r="C44" s="503">
        <f t="shared" si="2"/>
        <v>7</v>
      </c>
      <c r="D44" s="59" t="str">
        <f>IF(Match!D44="","",Match!D44)</f>
        <v>Premier</v>
      </c>
      <c r="E44" s="58" t="str">
        <f>IF(Match!U44="","",Match!U44)</f>
        <v>Spurs  v  Luton   2/9  6/1  9/1</v>
      </c>
      <c r="F44" s="58" t="str">
        <f>IF(Match!V44="","",Match!V44)</f>
        <v xml:space="preserve">Spurs 2-1 Luton </v>
      </c>
      <c r="G44" s="32" t="str">
        <f t="shared" si="4"/>
        <v>Spurs</v>
      </c>
      <c r="H44" s="33" t="str">
        <f t="shared" si="1"/>
        <v>2/9</v>
      </c>
      <c r="I44" s="174">
        <f t="shared" si="3"/>
        <v>1.2222222222222223</v>
      </c>
      <c r="J44" s="33">
        <f>INDEX(Picks!T:T,MATCH(G44,Picks!R:R,0))</f>
        <v>1</v>
      </c>
      <c r="K44" s="33">
        <f>IF(INDEX(Match!P:P,MATCH(A44,Match!A:A,0))="OFF",0,1)</f>
        <v>1</v>
      </c>
      <c r="L44" t="str">
        <f>INDEX(Match!Q:Q,MATCH(E44,Match!U:U,0))</f>
        <v>Spurs</v>
      </c>
      <c r="M44" t="str">
        <f>INDEX(Match!X:X,MATCH(E44,Match!U:U,0))</f>
        <v>2/9</v>
      </c>
      <c r="N44" t="str">
        <f>INDEX(Match!R:R,MATCH(E44,Match!U:U,0))</f>
        <v>Luton</v>
      </c>
      <c r="O44" t="str">
        <f>INDEX(Match!Y:Y,MATCH(E44,Match!U:U,0))</f>
        <v>6/1</v>
      </c>
      <c r="P44" t="str">
        <f>INDEX(Match!Z:Z,MATCH(E44,Match!U:U,0))</f>
        <v>9/1</v>
      </c>
      <c r="Q44" s="171">
        <f>INDEX(Match!AA:AA,MATCH(E44,Match!U:U,0))</f>
        <v>1.2222222222222223</v>
      </c>
      <c r="R44" s="171">
        <f>INDEX(Match!AB:AB,MATCH(E44,Match!U:U,0))</f>
        <v>7</v>
      </c>
      <c r="S44" s="171">
        <f>INDEX(Match!AC:AC,MATCH(E44,Match!U:U,0))</f>
        <v>10</v>
      </c>
    </row>
    <row r="45" spans="1:19">
      <c r="A45" s="4">
        <v>44</v>
      </c>
      <c r="B45" s="90">
        <f>IF(Match!B45="","",Match!B45)</f>
        <v>45381</v>
      </c>
      <c r="C45" s="503">
        <f t="shared" si="2"/>
        <v>7</v>
      </c>
      <c r="D45" s="59" t="str">
        <f>IF(Match!D45="","",Match!D45)</f>
        <v>Premier</v>
      </c>
      <c r="E45" s="58" t="str">
        <f>IF(Match!U45="","",Match!U45)</f>
        <v>Villa  v  Wolves   13/20  10/3  7/2</v>
      </c>
      <c r="F45" s="58" t="str">
        <f>IF(Match!V45="","",Match!V45)</f>
        <v xml:space="preserve">Villa 2-0 Wolves </v>
      </c>
      <c r="G45" s="32" t="str">
        <f t="shared" si="4"/>
        <v>Villa</v>
      </c>
      <c r="H45" s="33" t="str">
        <f t="shared" si="1"/>
        <v>13/20</v>
      </c>
      <c r="I45" s="174">
        <f t="shared" si="3"/>
        <v>1.65</v>
      </c>
      <c r="J45" s="33">
        <f>INDEX(Picks!T:T,MATCH(G45,Picks!R:R,0))</f>
        <v>1</v>
      </c>
      <c r="K45" s="33">
        <f>IF(INDEX(Match!P:P,MATCH(A45,Match!A:A,0))="OFF",0,1)</f>
        <v>1</v>
      </c>
      <c r="L45" t="str">
        <f>INDEX(Match!Q:Q,MATCH(E45,Match!U:U,0))</f>
        <v>Villa</v>
      </c>
      <c r="M45" t="str">
        <f>INDEX(Match!X:X,MATCH(E45,Match!U:U,0))</f>
        <v>13/20</v>
      </c>
      <c r="N45" t="str">
        <f>INDEX(Match!R:R,MATCH(E45,Match!U:U,0))</f>
        <v>Wolves</v>
      </c>
      <c r="O45" t="str">
        <f>INDEX(Match!Y:Y,MATCH(E45,Match!U:U,0))</f>
        <v>10/3</v>
      </c>
      <c r="P45" t="str">
        <f>INDEX(Match!Z:Z,MATCH(E45,Match!U:U,0))</f>
        <v>7/2</v>
      </c>
      <c r="Q45" s="171">
        <f>INDEX(Match!AA:AA,MATCH(E45,Match!U:U,0))</f>
        <v>1.65</v>
      </c>
      <c r="R45" s="171">
        <f>INDEX(Match!AB:AB,MATCH(E45,Match!U:U,0))</f>
        <v>4.3333333333333339</v>
      </c>
      <c r="S45" s="171">
        <f>INDEX(Match!AC:AC,MATCH(E45,Match!U:U,0))</f>
        <v>4.5</v>
      </c>
    </row>
    <row r="46" spans="1:19">
      <c r="A46" s="4">
        <v>45</v>
      </c>
      <c r="B46" s="90">
        <f>IF(Match!B46="","",Match!B46)</f>
        <v>45382</v>
      </c>
      <c r="C46" s="503">
        <f t="shared" si="2"/>
        <v>1</v>
      </c>
      <c r="D46" s="59" t="str">
        <f>IF(Match!D46="","",Match!D46)</f>
        <v>Premier</v>
      </c>
      <c r="E46" s="58" t="str">
        <f>IF(Match!U46="","",Match!U46)</f>
        <v>Liverpool  v  Brighton   7/20  9/2  13/2</v>
      </c>
      <c r="F46" s="58" t="str">
        <f>IF(Match!V46="","",Match!V46)</f>
        <v xml:space="preserve">Liverpool 2-0 Brighton </v>
      </c>
      <c r="G46" s="32" t="str">
        <f t="shared" si="4"/>
        <v>Liverpool</v>
      </c>
      <c r="H46" s="33" t="str">
        <f>IF(E46="","",M46)</f>
        <v>7/20</v>
      </c>
      <c r="I46" s="174">
        <f t="shared" si="3"/>
        <v>1.35</v>
      </c>
      <c r="J46" s="33">
        <f>INDEX(Picks!T:T,MATCH(G46,Picks!R:R,0))</f>
        <v>1</v>
      </c>
      <c r="K46" s="33">
        <f>IF(INDEX(Match!P:P,MATCH(A46,Match!A:A,0))="OFF",0,1)</f>
        <v>1</v>
      </c>
      <c r="L46" t="str">
        <f>INDEX(Match!Q:Q,MATCH(E46,Match!U:U,0))</f>
        <v>Liverpool</v>
      </c>
      <c r="M46" t="str">
        <f>INDEX(Match!X:X,MATCH(E46,Match!U:U,0))</f>
        <v>7/20</v>
      </c>
      <c r="N46" t="str">
        <f>INDEX(Match!R:R,MATCH(E46,Match!U:U,0))</f>
        <v>Brighton</v>
      </c>
      <c r="O46" t="str">
        <f>INDEX(Match!Y:Y,MATCH(E46,Match!U:U,0))</f>
        <v>9/2</v>
      </c>
      <c r="P46" t="str">
        <f>INDEX(Match!Z:Z,MATCH(E46,Match!U:U,0))</f>
        <v>13/2</v>
      </c>
      <c r="Q46" s="171">
        <f>INDEX(Match!AA:AA,MATCH(E46,Match!U:U,0))</f>
        <v>1.35</v>
      </c>
      <c r="R46" s="171">
        <f>INDEX(Match!AB:AB,MATCH(E46,Match!U:U,0))</f>
        <v>5.5</v>
      </c>
      <c r="S46" s="171">
        <f>INDEX(Match!AC:AC,MATCH(E46,Match!U:U,0))</f>
        <v>7.5</v>
      </c>
    </row>
    <row r="47" spans="1:19">
      <c r="A47" s="4">
        <v>46</v>
      </c>
      <c r="B47" s="90">
        <f>IF(Match!B47="","",Match!B47)</f>
        <v>45382</v>
      </c>
      <c r="C47" s="503">
        <f t="shared" si="2"/>
        <v>1</v>
      </c>
      <c r="D47" s="59" t="str">
        <f>IF(Match!D47="","",Match!D47)</f>
        <v>Premier</v>
      </c>
      <c r="E47" s="58" t="str">
        <f>IF(Match!U47="","",Match!U47)</f>
        <v>Man C  v  Arsenal   5/6  3/1  14/5</v>
      </c>
      <c r="F47" s="58" t="str">
        <f>IF(Match!V47="","",Match!V47)</f>
        <v xml:space="preserve">Man C 0-0 Arsenal </v>
      </c>
      <c r="G47" s="32" t="str">
        <f>IF(E47="","",L47)</f>
        <v>Man C</v>
      </c>
      <c r="H47" s="33" t="str">
        <f>IF(E47="","",M47)</f>
        <v>5/6</v>
      </c>
      <c r="I47" s="174">
        <f t="shared" si="3"/>
        <v>1.8333333333333335</v>
      </c>
      <c r="J47" s="33">
        <f>INDEX(Picks!T:T,MATCH(G47,Picks!R:R,0))</f>
        <v>0</v>
      </c>
      <c r="K47" s="33">
        <f>IF(INDEX(Match!P:P,MATCH(A47,Match!A:A,0))="OFF",0,1)</f>
        <v>1</v>
      </c>
      <c r="L47" t="str">
        <f>INDEX(Match!Q:Q,MATCH(E47,Match!U:U,0))</f>
        <v>Man C</v>
      </c>
      <c r="M47" t="str">
        <f>INDEX(Match!X:X,MATCH(E47,Match!U:U,0))</f>
        <v>5/6</v>
      </c>
      <c r="N47" t="str">
        <f>INDEX(Match!R:R,MATCH(E47,Match!U:U,0))</f>
        <v>Arsenal</v>
      </c>
      <c r="O47" t="str">
        <f>INDEX(Match!Y:Y,MATCH(E47,Match!U:U,0))</f>
        <v>3/1</v>
      </c>
      <c r="P47" t="str">
        <f>INDEX(Match!Z:Z,MATCH(E47,Match!U:U,0))</f>
        <v>14/5</v>
      </c>
      <c r="Q47" s="171">
        <f>INDEX(Match!AA:AA,MATCH(E47,Match!U:U,0))</f>
        <v>1.8333333333333335</v>
      </c>
      <c r="R47" s="171">
        <f>INDEX(Match!AB:AB,MATCH(E47,Match!U:U,0))</f>
        <v>4</v>
      </c>
      <c r="S47" s="171">
        <f>INDEX(Match!AC:AC,MATCH(E47,Match!U:U,0))</f>
        <v>3.8</v>
      </c>
    </row>
    <row r="48" spans="1:19">
      <c r="A48" s="4">
        <v>1</v>
      </c>
      <c r="B48" s="90">
        <f>IF(Match!B2="","",Match!B2)</f>
        <v>45380</v>
      </c>
      <c r="C48" s="503">
        <f t="shared" si="2"/>
        <v>6</v>
      </c>
      <c r="E48" s="8"/>
      <c r="F48" s="8"/>
      <c r="G48" s="145" t="str">
        <f t="shared" ref="G48:G93" si="5">IF(E2="","",L2&amp;" draw")</f>
        <v>Blackburn draw</v>
      </c>
      <c r="H48" s="146" t="str">
        <f t="shared" ref="H48:H93" si="6">IF(E2="","",O2)</f>
        <v>27/10</v>
      </c>
      <c r="I48" s="175">
        <f>IF(E2="","",R2)</f>
        <v>3.7</v>
      </c>
      <c r="J48" s="146">
        <f>INDEX(Picks!T:T,MATCH(G48,Picks!R:R,0))</f>
        <v>0</v>
      </c>
      <c r="K48" s="146">
        <f>IF(INDEX(Match!P:P,MATCH(A48,Match!A:A,0))="OFF",0,1)</f>
        <v>1</v>
      </c>
    </row>
    <row r="49" spans="1:11">
      <c r="A49" s="4">
        <v>2</v>
      </c>
      <c r="B49" s="90">
        <f>IF(Match!B3="","",Match!B3)</f>
        <v>45380</v>
      </c>
      <c r="C49" s="503">
        <f t="shared" si="2"/>
        <v>6</v>
      </c>
      <c r="G49" s="145" t="str">
        <f t="shared" si="5"/>
        <v>Bristol C draw</v>
      </c>
      <c r="H49" s="146" t="str">
        <f t="shared" si="6"/>
        <v>5/2</v>
      </c>
      <c r="I49" s="175">
        <f t="shared" ref="I49:I93" si="7">IF(E3="","",R3)</f>
        <v>3.5</v>
      </c>
      <c r="J49" s="146">
        <f>INDEX(Picks!T:T,MATCH(G49,Picks!R:R,0))</f>
        <v>0</v>
      </c>
      <c r="K49" s="146">
        <f>IF(INDEX(Match!P:P,MATCH(A49,Match!A:A,0))="OFF",0,1)</f>
        <v>1</v>
      </c>
    </row>
    <row r="50" spans="1:11">
      <c r="A50" s="4">
        <v>3</v>
      </c>
      <c r="B50" s="90">
        <f>IF(Match!B4="","",Match!B4)</f>
        <v>45380</v>
      </c>
      <c r="C50" s="503">
        <f t="shared" si="2"/>
        <v>6</v>
      </c>
      <c r="G50" s="145" t="str">
        <f t="shared" si="5"/>
        <v>Cardiff draw</v>
      </c>
      <c r="H50" s="146" t="str">
        <f t="shared" si="6"/>
        <v>21/10</v>
      </c>
      <c r="I50" s="175">
        <f t="shared" si="7"/>
        <v>3.1</v>
      </c>
      <c r="J50" s="146">
        <f>INDEX(Picks!T:T,MATCH(G50,Picks!R:R,0))</f>
        <v>0</v>
      </c>
      <c r="K50" s="146">
        <f>IF(INDEX(Match!P:P,MATCH(A50,Match!A:A,0))="OFF",0,1)</f>
        <v>1</v>
      </c>
    </row>
    <row r="51" spans="1:11">
      <c r="A51" s="4">
        <v>4</v>
      </c>
      <c r="B51" s="90">
        <f>IF(Match!B5="","",Match!B5)</f>
        <v>45380</v>
      </c>
      <c r="C51" s="503">
        <f t="shared" si="2"/>
        <v>6</v>
      </c>
      <c r="G51" s="145" t="str">
        <f t="shared" si="5"/>
        <v>Huddersfield draw</v>
      </c>
      <c r="H51" s="146" t="str">
        <f t="shared" si="6"/>
        <v>23/10</v>
      </c>
      <c r="I51" s="175">
        <f t="shared" si="7"/>
        <v>3.3</v>
      </c>
      <c r="J51" s="146">
        <f>INDEX(Picks!T:T,MATCH(G51,Picks!R:R,0))</f>
        <v>0</v>
      </c>
      <c r="K51" s="146">
        <f>IF(INDEX(Match!P:P,MATCH(A51,Match!A:A,0))="OFF",0,1)</f>
        <v>1</v>
      </c>
    </row>
    <row r="52" spans="1:11">
      <c r="A52" s="4">
        <v>5</v>
      </c>
      <c r="B52" s="90">
        <f>IF(Match!B6="","",Match!B6)</f>
        <v>45380</v>
      </c>
      <c r="C52" s="503">
        <f t="shared" si="2"/>
        <v>6</v>
      </c>
      <c r="G52" s="145" t="str">
        <f t="shared" si="5"/>
        <v>Hull draw</v>
      </c>
      <c r="H52" s="146" t="str">
        <f t="shared" si="6"/>
        <v>12/5</v>
      </c>
      <c r="I52" s="175">
        <f t="shared" si="7"/>
        <v>3.4</v>
      </c>
      <c r="J52" s="146">
        <f>INDEX(Picks!T:T,MATCH(G52,Picks!R:R,0))</f>
        <v>0</v>
      </c>
      <c r="K52" s="146">
        <f>IF(INDEX(Match!P:P,MATCH(A52,Match!A:A,0))="OFF",0,1)</f>
        <v>1</v>
      </c>
    </row>
    <row r="53" spans="1:11">
      <c r="A53" s="4">
        <v>6</v>
      </c>
      <c r="B53" s="90">
        <f>IF(Match!B7="","",Match!B7)</f>
        <v>45380</v>
      </c>
      <c r="C53" s="503">
        <f t="shared" si="2"/>
        <v>6</v>
      </c>
      <c r="G53" s="145" t="str">
        <f t="shared" si="5"/>
        <v>Millwall draw</v>
      </c>
      <c r="H53" s="146" t="str">
        <f t="shared" si="6"/>
        <v>2/1</v>
      </c>
      <c r="I53" s="175">
        <f t="shared" si="7"/>
        <v>3</v>
      </c>
      <c r="J53" s="146">
        <f>INDEX(Picks!T:T,MATCH(G53,Picks!R:R,0))</f>
        <v>1</v>
      </c>
      <c r="K53" s="146">
        <f>IF(INDEX(Match!P:P,MATCH(A53,Match!A:A,0))="OFF",0,1)</f>
        <v>1</v>
      </c>
    </row>
    <row r="54" spans="1:11">
      <c r="A54" s="4">
        <v>7</v>
      </c>
      <c r="B54" s="90">
        <f>IF(Match!B8="","",Match!B8)</f>
        <v>45380</v>
      </c>
      <c r="C54" s="503">
        <f t="shared" si="2"/>
        <v>6</v>
      </c>
      <c r="G54" s="145" t="str">
        <f t="shared" si="5"/>
        <v>Norwich draw</v>
      </c>
      <c r="H54" s="146" t="str">
        <f t="shared" si="6"/>
        <v>10/3</v>
      </c>
      <c r="I54" s="175">
        <f t="shared" si="7"/>
        <v>4.3333333333333339</v>
      </c>
      <c r="J54" s="146">
        <f>INDEX(Picks!T:T,MATCH(G54,Picks!R:R,0))</f>
        <v>0</v>
      </c>
      <c r="K54" s="146">
        <f>IF(INDEX(Match!P:P,MATCH(A54,Match!A:A,0))="OFF",0,1)</f>
        <v>1</v>
      </c>
    </row>
    <row r="55" spans="1:11">
      <c r="A55" s="4">
        <v>8</v>
      </c>
      <c r="B55" s="90">
        <f>IF(Match!B9="","",Match!B9)</f>
        <v>45380</v>
      </c>
      <c r="C55" s="503">
        <f t="shared" si="2"/>
        <v>6</v>
      </c>
      <c r="G55" s="145" t="str">
        <f t="shared" si="5"/>
        <v>Preston draw</v>
      </c>
      <c r="H55" s="146" t="str">
        <f t="shared" si="6"/>
        <v>29/10</v>
      </c>
      <c r="I55" s="175">
        <f t="shared" si="7"/>
        <v>3.9</v>
      </c>
      <c r="J55" s="146">
        <f>INDEX(Picks!T:T,MATCH(G55,Picks!R:R,0))</f>
        <v>0</v>
      </c>
      <c r="K55" s="146">
        <f>IF(INDEX(Match!P:P,MATCH(A55,Match!A:A,0))="OFF",0,1)</f>
        <v>1</v>
      </c>
    </row>
    <row r="56" spans="1:11">
      <c r="A56" s="4">
        <v>9</v>
      </c>
      <c r="B56" s="90">
        <f>IF(Match!B10="","",Match!B10)</f>
        <v>45380</v>
      </c>
      <c r="C56" s="503">
        <f t="shared" si="2"/>
        <v>6</v>
      </c>
      <c r="G56" s="145" t="str">
        <f t="shared" si="5"/>
        <v>QPR draw</v>
      </c>
      <c r="H56" s="146" t="str">
        <f t="shared" si="6"/>
        <v>9/4</v>
      </c>
      <c r="I56" s="175">
        <f t="shared" si="7"/>
        <v>3.25</v>
      </c>
      <c r="J56" s="146">
        <f>INDEX(Picks!T:T,MATCH(G56,Picks!R:R,0))</f>
        <v>0</v>
      </c>
      <c r="K56" s="146">
        <f>IF(INDEX(Match!P:P,MATCH(A56,Match!A:A,0))="OFF",0,1)</f>
        <v>1</v>
      </c>
    </row>
    <row r="57" spans="1:11">
      <c r="A57" s="4">
        <v>10</v>
      </c>
      <c r="B57" s="90">
        <f>IF(Match!B11="","",Match!B11)</f>
        <v>45380</v>
      </c>
      <c r="C57" s="503">
        <f t="shared" si="2"/>
        <v>6</v>
      </c>
      <c r="G57" s="145" t="str">
        <f t="shared" si="5"/>
        <v>Sheff W draw</v>
      </c>
      <c r="H57" s="146" t="str">
        <f t="shared" si="6"/>
        <v>9/4</v>
      </c>
      <c r="I57" s="175">
        <f t="shared" si="7"/>
        <v>3.25</v>
      </c>
      <c r="J57" s="146">
        <f>INDEX(Picks!T:T,MATCH(G57,Picks!R:R,0))</f>
        <v>1</v>
      </c>
      <c r="K57" s="146">
        <f>IF(INDEX(Match!P:P,MATCH(A57,Match!A:A,0))="OFF",0,1)</f>
        <v>1</v>
      </c>
    </row>
    <row r="58" spans="1:11">
      <c r="A58" s="4">
        <v>11</v>
      </c>
      <c r="B58" s="90">
        <f>IF(Match!B12="","",Match!B12)</f>
        <v>45380</v>
      </c>
      <c r="C58" s="503">
        <f t="shared" si="2"/>
        <v>6</v>
      </c>
      <c r="G58" s="145" t="str">
        <f t="shared" si="5"/>
        <v>Southampton draw</v>
      </c>
      <c r="H58" s="146" t="str">
        <f t="shared" si="6"/>
        <v>16/5</v>
      </c>
      <c r="I58" s="175">
        <f t="shared" si="7"/>
        <v>4.2</v>
      </c>
      <c r="J58" s="146">
        <f>INDEX(Picks!T:T,MATCH(G58,Picks!R:R,0))</f>
        <v>1</v>
      </c>
      <c r="K58" s="146">
        <f>IF(INDEX(Match!P:P,MATCH(A58,Match!A:A,0))="OFF",0,1)</f>
        <v>1</v>
      </c>
    </row>
    <row r="59" spans="1:11">
      <c r="A59" s="4">
        <v>12</v>
      </c>
      <c r="B59" s="90">
        <f>IF(Match!B13="","",Match!B13)</f>
        <v>45380</v>
      </c>
      <c r="C59" s="503">
        <f t="shared" si="2"/>
        <v>6</v>
      </c>
      <c r="G59" s="145" t="str">
        <f t="shared" si="5"/>
        <v>Watford draw</v>
      </c>
      <c r="H59" s="146" t="str">
        <f t="shared" si="6"/>
        <v>29/10</v>
      </c>
      <c r="I59" s="175">
        <f t="shared" si="7"/>
        <v>3.9</v>
      </c>
      <c r="J59" s="146">
        <f>INDEX(Picks!T:T,MATCH(G59,Picks!R:R,0))</f>
        <v>1</v>
      </c>
      <c r="K59" s="146">
        <f>IF(INDEX(Match!P:P,MATCH(A59,Match!A:A,0))="OFF",0,1)</f>
        <v>1</v>
      </c>
    </row>
    <row r="60" spans="1:11">
      <c r="A60" s="4">
        <v>13</v>
      </c>
      <c r="B60" s="90">
        <f>IF(Match!B14="","",Match!B14)</f>
        <v>45380</v>
      </c>
      <c r="C60" s="503">
        <f t="shared" si="2"/>
        <v>6</v>
      </c>
      <c r="G60" s="145" t="str">
        <f t="shared" si="5"/>
        <v>Barnsley draw</v>
      </c>
      <c r="H60" s="146" t="str">
        <f t="shared" si="6"/>
        <v>16/5</v>
      </c>
      <c r="I60" s="175">
        <f t="shared" si="7"/>
        <v>4.2</v>
      </c>
      <c r="J60" s="146">
        <f>INDEX(Picks!T:T,MATCH(G60,Picks!R:R,0))</f>
        <v>0</v>
      </c>
      <c r="K60" s="146">
        <f>IF(INDEX(Match!P:P,MATCH(A60,Match!A:A,0))="OFF",0,1)</f>
        <v>1</v>
      </c>
    </row>
    <row r="61" spans="1:11">
      <c r="A61" s="4">
        <v>14</v>
      </c>
      <c r="B61" s="90">
        <f>IF(Match!B15="","",Match!B15)</f>
        <v>45380</v>
      </c>
      <c r="C61" s="503">
        <f t="shared" si="2"/>
        <v>6</v>
      </c>
      <c r="G61" s="145" t="str">
        <f t="shared" si="5"/>
        <v>Derby draw</v>
      </c>
      <c r="H61" s="146" t="str">
        <f t="shared" si="6"/>
        <v>13/5</v>
      </c>
      <c r="I61" s="175">
        <f t="shared" si="7"/>
        <v>3.6</v>
      </c>
      <c r="J61" s="146">
        <f>INDEX(Picks!T:T,MATCH(G61,Picks!R:R,0))</f>
        <v>0</v>
      </c>
      <c r="K61" s="146">
        <f>IF(INDEX(Match!P:P,MATCH(A61,Match!A:A,0))="OFF",0,1)</f>
        <v>1</v>
      </c>
    </row>
    <row r="62" spans="1:11">
      <c r="A62" s="4">
        <v>15</v>
      </c>
      <c r="B62" s="90">
        <f>IF(Match!B16="","",Match!B16)</f>
        <v>45380</v>
      </c>
      <c r="C62" s="503">
        <f t="shared" si="2"/>
        <v>6</v>
      </c>
      <c r="G62" s="145" t="str">
        <f t="shared" si="5"/>
        <v>Exeter draw</v>
      </c>
      <c r="H62" s="146" t="str">
        <f t="shared" si="6"/>
        <v>12/5</v>
      </c>
      <c r="I62" s="175">
        <f t="shared" si="7"/>
        <v>3.4</v>
      </c>
      <c r="J62" s="146">
        <f>INDEX(Picks!T:T,MATCH(G62,Picks!R:R,0))</f>
        <v>1</v>
      </c>
      <c r="K62" s="146">
        <f>IF(INDEX(Match!P:P,MATCH(A62,Match!A:A,0))="OFF",0,1)</f>
        <v>1</v>
      </c>
    </row>
    <row r="63" spans="1:11">
      <c r="A63" s="4">
        <v>16</v>
      </c>
      <c r="B63" s="90">
        <f>IF(Match!B17="","",Match!B17)</f>
        <v>45380</v>
      </c>
      <c r="C63" s="503">
        <f t="shared" si="2"/>
        <v>6</v>
      </c>
      <c r="G63" s="145" t="str">
        <f t="shared" si="5"/>
        <v>Fleetwood draw</v>
      </c>
      <c r="H63" s="146" t="str">
        <f t="shared" si="6"/>
        <v>5/2</v>
      </c>
      <c r="I63" s="175">
        <f t="shared" si="7"/>
        <v>3.5</v>
      </c>
      <c r="J63" s="146">
        <f>INDEX(Picks!T:T,MATCH(G63,Picks!R:R,0))</f>
        <v>0</v>
      </c>
      <c r="K63" s="146">
        <f>IF(INDEX(Match!P:P,MATCH(A63,Match!A:A,0))="OFF",0,1)</f>
        <v>1</v>
      </c>
    </row>
    <row r="64" spans="1:11">
      <c r="A64" s="4">
        <v>17</v>
      </c>
      <c r="B64" s="90">
        <f>IF(Match!B18="","",Match!B18)</f>
        <v>45380</v>
      </c>
      <c r="C64" s="503">
        <f t="shared" si="2"/>
        <v>6</v>
      </c>
      <c r="G64" s="145" t="str">
        <f t="shared" si="5"/>
        <v>Lincoln draw</v>
      </c>
      <c r="H64" s="146" t="str">
        <f t="shared" si="6"/>
        <v>23/10</v>
      </c>
      <c r="I64" s="175">
        <f t="shared" si="7"/>
        <v>3.3</v>
      </c>
      <c r="J64" s="146">
        <f>INDEX(Picks!T:T,MATCH(G64,Picks!R:R,0))</f>
        <v>0</v>
      </c>
      <c r="K64" s="146">
        <f>IF(INDEX(Match!P:P,MATCH(A64,Match!A:A,0))="OFF",0,1)</f>
        <v>1</v>
      </c>
    </row>
    <row r="65" spans="1:11">
      <c r="A65" s="4">
        <v>18</v>
      </c>
      <c r="B65" s="90">
        <f>IF(Match!B19="","",Match!B19)</f>
        <v>45380</v>
      </c>
      <c r="C65" s="503">
        <f t="shared" si="2"/>
        <v>6</v>
      </c>
      <c r="G65" s="145" t="str">
        <f t="shared" si="5"/>
        <v>Peterborough draw</v>
      </c>
      <c r="H65" s="146" t="str">
        <f t="shared" si="6"/>
        <v>9/2</v>
      </c>
      <c r="I65" s="175">
        <f t="shared" si="7"/>
        <v>5.5</v>
      </c>
      <c r="J65" s="146">
        <f>INDEX(Picks!T:T,MATCH(G65,Picks!R:R,0))</f>
        <v>0</v>
      </c>
      <c r="K65" s="146">
        <f>IF(INDEX(Match!P:P,MATCH(A65,Match!A:A,0))="OFF",0,1)</f>
        <v>1</v>
      </c>
    </row>
    <row r="66" spans="1:11">
      <c r="A66" s="4">
        <v>19</v>
      </c>
      <c r="B66" s="90">
        <f>IF(Match!B20="","",Match!B20)</f>
        <v>45380</v>
      </c>
      <c r="C66" s="503">
        <f t="shared" si="2"/>
        <v>6</v>
      </c>
      <c r="G66" s="145" t="str">
        <f t="shared" si="5"/>
        <v>Port Vale draw</v>
      </c>
      <c r="H66" s="146" t="str">
        <f t="shared" si="6"/>
        <v>12/5</v>
      </c>
      <c r="I66" s="175">
        <f t="shared" si="7"/>
        <v>3.4</v>
      </c>
      <c r="J66" s="146">
        <f>INDEX(Picks!T:T,MATCH(G66,Picks!R:R,0))</f>
        <v>0</v>
      </c>
      <c r="K66" s="146">
        <f>IF(INDEX(Match!P:P,MATCH(A66,Match!A:A,0))="OFF",0,1)</f>
        <v>1</v>
      </c>
    </row>
    <row r="67" spans="1:11">
      <c r="A67" s="4">
        <v>20</v>
      </c>
      <c r="B67" s="90">
        <f>IF(Match!B21="","",Match!B21)</f>
        <v>45380</v>
      </c>
      <c r="C67" s="503">
        <f t="shared" ref="C67:C130" si="8">IF(B67="","",WEEKDAY(B67))</f>
        <v>6</v>
      </c>
      <c r="G67" s="145" t="str">
        <f t="shared" si="5"/>
        <v>Reading draw</v>
      </c>
      <c r="H67" s="146" t="str">
        <f t="shared" si="6"/>
        <v>14/5</v>
      </c>
      <c r="I67" s="175">
        <f t="shared" si="7"/>
        <v>3.8</v>
      </c>
      <c r="J67" s="146">
        <f>INDEX(Picks!T:T,MATCH(G67,Picks!R:R,0))</f>
        <v>0</v>
      </c>
      <c r="K67" s="146">
        <f>IF(INDEX(Match!P:P,MATCH(A67,Match!A:A,0))="OFF",0,1)</f>
        <v>1</v>
      </c>
    </row>
    <row r="68" spans="1:11">
      <c r="A68" s="4">
        <v>21</v>
      </c>
      <c r="B68" s="90">
        <f>IF(Match!B22="","",Match!B22)</f>
        <v>45380</v>
      </c>
      <c r="C68" s="503">
        <f t="shared" si="8"/>
        <v>6</v>
      </c>
      <c r="G68" s="145" t="str">
        <f t="shared" si="5"/>
        <v>Shrewsbury draw</v>
      </c>
      <c r="H68" s="146" t="str">
        <f t="shared" si="6"/>
        <v>5/2</v>
      </c>
      <c r="I68" s="175">
        <f t="shared" si="7"/>
        <v>3.5</v>
      </c>
      <c r="J68" s="146">
        <f>INDEX(Picks!T:T,MATCH(G68,Picks!R:R,0))</f>
        <v>1</v>
      </c>
      <c r="K68" s="146">
        <f>IF(INDEX(Match!P:P,MATCH(A68,Match!A:A,0))="OFF",0,1)</f>
        <v>1</v>
      </c>
    </row>
    <row r="69" spans="1:11">
      <c r="A69" s="4">
        <v>22</v>
      </c>
      <c r="B69" s="90">
        <f>IF(Match!B23="","",Match!B23)</f>
        <v>45380</v>
      </c>
      <c r="C69" s="503">
        <f t="shared" si="8"/>
        <v>6</v>
      </c>
      <c r="G69" s="145" t="str">
        <f t="shared" si="5"/>
        <v>Stevenage draw</v>
      </c>
      <c r="H69" s="146" t="str">
        <f t="shared" si="6"/>
        <v>9/4</v>
      </c>
      <c r="I69" s="175">
        <f t="shared" si="7"/>
        <v>3.25</v>
      </c>
      <c r="J69" s="146">
        <f>INDEX(Picks!T:T,MATCH(G69,Picks!R:R,0))</f>
        <v>1</v>
      </c>
      <c r="K69" s="146">
        <f>IF(INDEX(Match!P:P,MATCH(A69,Match!A:A,0))="OFF",0,1)</f>
        <v>1</v>
      </c>
    </row>
    <row r="70" spans="1:11">
      <c r="A70" s="4">
        <v>23</v>
      </c>
      <c r="B70" s="90">
        <f>IF(Match!B24="","",Match!B24)</f>
        <v>45380</v>
      </c>
      <c r="C70" s="503">
        <f t="shared" si="8"/>
        <v>6</v>
      </c>
      <c r="G70" s="145" t="str">
        <f t="shared" si="5"/>
        <v>Wigan draw</v>
      </c>
      <c r="H70" s="146" t="str">
        <f t="shared" si="6"/>
        <v>12/5</v>
      </c>
      <c r="I70" s="175">
        <f t="shared" si="7"/>
        <v>3.4</v>
      </c>
      <c r="J70" s="146">
        <f>INDEX(Picks!T:T,MATCH(G70,Picks!R:R,0))</f>
        <v>1</v>
      </c>
      <c r="K70" s="146">
        <f>IF(INDEX(Match!P:P,MATCH(A70,Match!A:A,0))="OFF",0,1)</f>
        <v>1</v>
      </c>
    </row>
    <row r="71" spans="1:11">
      <c r="A71" s="4">
        <v>24</v>
      </c>
      <c r="B71" s="90">
        <f>IF(Match!B25="","",Match!B25)</f>
        <v>45380</v>
      </c>
      <c r="C71" s="503">
        <f t="shared" si="8"/>
        <v>6</v>
      </c>
      <c r="G71" s="145" t="str">
        <f t="shared" si="5"/>
        <v>Wycombe draw</v>
      </c>
      <c r="H71" s="146" t="str">
        <f t="shared" si="6"/>
        <v>12/5</v>
      </c>
      <c r="I71" s="175">
        <f t="shared" si="7"/>
        <v>3.4</v>
      </c>
      <c r="J71" s="146">
        <f>INDEX(Picks!T:T,MATCH(G71,Picks!R:R,0))</f>
        <v>0</v>
      </c>
      <c r="K71" s="146">
        <f>IF(INDEX(Match!P:P,MATCH(A71,Match!A:A,0))="OFF",0,1)</f>
        <v>1</v>
      </c>
    </row>
    <row r="72" spans="1:11">
      <c r="A72" s="4">
        <v>25</v>
      </c>
      <c r="B72" s="90">
        <f>IF(Match!B26="","",Match!B26)</f>
        <v>45380</v>
      </c>
      <c r="C72" s="503">
        <f t="shared" si="8"/>
        <v>6</v>
      </c>
      <c r="G72" s="145" t="str">
        <f t="shared" si="5"/>
        <v>Accrington draw</v>
      </c>
      <c r="H72" s="146" t="str">
        <f t="shared" si="6"/>
        <v>13/5</v>
      </c>
      <c r="I72" s="175">
        <f t="shared" si="7"/>
        <v>3.6</v>
      </c>
      <c r="J72" s="146">
        <f>INDEX(Picks!T:T,MATCH(G72,Picks!R:R,0))</f>
        <v>0</v>
      </c>
      <c r="K72" s="146">
        <f>IF(INDEX(Match!P:P,MATCH(A72,Match!A:A,0))="OFF",0,1)</f>
        <v>1</v>
      </c>
    </row>
    <row r="73" spans="1:11">
      <c r="A73" s="4">
        <v>26</v>
      </c>
      <c r="B73" s="90">
        <f>IF(Match!B27="","",Match!B27)</f>
        <v>45380</v>
      </c>
      <c r="C73" s="503">
        <f t="shared" si="8"/>
        <v>6</v>
      </c>
      <c r="G73" s="145" t="str">
        <f t="shared" si="5"/>
        <v>Barrow draw</v>
      </c>
      <c r="H73" s="146" t="str">
        <f t="shared" si="6"/>
        <v>12/5</v>
      </c>
      <c r="I73" s="175">
        <f t="shared" si="7"/>
        <v>3.4</v>
      </c>
      <c r="J73" s="146">
        <f>INDEX(Picks!T:T,MATCH(G73,Picks!R:R,0))</f>
        <v>0</v>
      </c>
      <c r="K73" s="146">
        <f>IF(INDEX(Match!P:P,MATCH(A73,Match!A:A,0))="OFF",0,1)</f>
        <v>1</v>
      </c>
    </row>
    <row r="74" spans="1:11">
      <c r="A74" s="4">
        <v>27</v>
      </c>
      <c r="B74" s="90">
        <f>IF(Match!B28="","",Match!B28)</f>
        <v>45380</v>
      </c>
      <c r="C74" s="503">
        <f t="shared" si="8"/>
        <v>6</v>
      </c>
      <c r="G74" s="145" t="str">
        <f t="shared" si="5"/>
        <v>Bradford draw</v>
      </c>
      <c r="H74" s="146" t="str">
        <f t="shared" si="6"/>
        <v>5/2</v>
      </c>
      <c r="I74" s="175">
        <f t="shared" si="7"/>
        <v>3.5</v>
      </c>
      <c r="J74" s="146">
        <f>INDEX(Picks!T:T,MATCH(G74,Picks!R:R,0))</f>
        <v>0</v>
      </c>
      <c r="K74" s="146">
        <f>IF(INDEX(Match!P:P,MATCH(A74,Match!A:A,0))="OFF",0,1)</f>
        <v>1</v>
      </c>
    </row>
    <row r="75" spans="1:11">
      <c r="A75" s="4">
        <v>28</v>
      </c>
      <c r="B75" s="90">
        <f>IF(Match!B29="","",Match!B29)</f>
        <v>45380</v>
      </c>
      <c r="C75" s="503">
        <f t="shared" si="8"/>
        <v>6</v>
      </c>
      <c r="G75" s="145" t="str">
        <f t="shared" si="5"/>
        <v>Colchester draw</v>
      </c>
      <c r="H75" s="146" t="str">
        <f t="shared" si="6"/>
        <v>13/5</v>
      </c>
      <c r="I75" s="175">
        <f t="shared" si="7"/>
        <v>3.6</v>
      </c>
      <c r="J75" s="146">
        <f>INDEX(Picks!T:T,MATCH(G75,Picks!R:R,0))</f>
        <v>0</v>
      </c>
      <c r="K75" s="146">
        <f>IF(INDEX(Match!P:P,MATCH(A75,Match!A:A,0))="OFF",0,1)</f>
        <v>1</v>
      </c>
    </row>
    <row r="76" spans="1:11">
      <c r="A76" s="4">
        <v>29</v>
      </c>
      <c r="B76" s="90">
        <f>IF(Match!B30="","",Match!B30)</f>
        <v>45380</v>
      </c>
      <c r="C76" s="503">
        <f t="shared" si="8"/>
        <v>6</v>
      </c>
      <c r="G76" s="145" t="str">
        <f t="shared" si="5"/>
        <v>Crawley draw</v>
      </c>
      <c r="H76" s="146" t="str">
        <f t="shared" si="6"/>
        <v>13/5</v>
      </c>
      <c r="I76" s="175">
        <f t="shared" si="7"/>
        <v>3.6</v>
      </c>
      <c r="J76" s="146">
        <f>INDEX(Picks!T:T,MATCH(G76,Picks!R:R,0))</f>
        <v>0</v>
      </c>
      <c r="K76" s="146">
        <f>IF(INDEX(Match!P:P,MATCH(A76,Match!A:A,0))="OFF",0,1)</f>
        <v>1</v>
      </c>
    </row>
    <row r="77" spans="1:11">
      <c r="A77" s="4">
        <v>30</v>
      </c>
      <c r="B77" s="90">
        <f>IF(Match!B31="","",Match!B31)</f>
        <v>45380</v>
      </c>
      <c r="C77" s="503">
        <f t="shared" si="8"/>
        <v>6</v>
      </c>
      <c r="G77" s="145" t="str">
        <f t="shared" si="5"/>
        <v>Forest Green draw</v>
      </c>
      <c r="H77" s="146" t="str">
        <f t="shared" si="6"/>
        <v>14/5</v>
      </c>
      <c r="I77" s="175">
        <f t="shared" si="7"/>
        <v>3.8</v>
      </c>
      <c r="J77" s="146">
        <f>INDEX(Picks!T:T,MATCH(G77,Picks!R:R,0))</f>
        <v>0</v>
      </c>
      <c r="K77" s="146">
        <f>IF(INDEX(Match!P:P,MATCH(A77,Match!A:A,0))="OFF",0,1)</f>
        <v>1</v>
      </c>
    </row>
    <row r="78" spans="1:11">
      <c r="A78" s="4">
        <v>31</v>
      </c>
      <c r="B78" s="90">
        <f>IF(Match!B32="","",Match!B32)</f>
        <v>45380</v>
      </c>
      <c r="C78" s="503">
        <f t="shared" si="8"/>
        <v>6</v>
      </c>
      <c r="G78" s="145" t="str">
        <f t="shared" si="5"/>
        <v>Gillingham draw</v>
      </c>
      <c r="H78" s="146" t="str">
        <f t="shared" si="6"/>
        <v>5/2</v>
      </c>
      <c r="I78" s="175">
        <f t="shared" si="7"/>
        <v>3.5</v>
      </c>
      <c r="J78" s="146">
        <f>INDEX(Picks!T:T,MATCH(G78,Picks!R:R,0))</f>
        <v>1</v>
      </c>
      <c r="K78" s="146">
        <f>IF(INDEX(Match!P:P,MATCH(A78,Match!A:A,0))="OFF",0,1)</f>
        <v>1</v>
      </c>
    </row>
    <row r="79" spans="1:11">
      <c r="A79" s="4">
        <v>32</v>
      </c>
      <c r="B79" s="90">
        <f>IF(Match!B33="","",Match!B33)</f>
        <v>45380</v>
      </c>
      <c r="C79" s="503">
        <f t="shared" si="8"/>
        <v>6</v>
      </c>
      <c r="G79" s="145" t="str">
        <f t="shared" si="5"/>
        <v>MK Dons draw</v>
      </c>
      <c r="H79" s="146" t="str">
        <f t="shared" si="6"/>
        <v>27/10</v>
      </c>
      <c r="I79" s="175">
        <f t="shared" si="7"/>
        <v>3.7</v>
      </c>
      <c r="J79" s="146">
        <f>INDEX(Picks!T:T,MATCH(G79,Picks!R:R,0))</f>
        <v>0</v>
      </c>
      <c r="K79" s="146">
        <f>IF(INDEX(Match!P:P,MATCH(A79,Match!A:A,0))="OFF",0,1)</f>
        <v>1</v>
      </c>
    </row>
    <row r="80" spans="1:11">
      <c r="A80" s="4">
        <v>33</v>
      </c>
      <c r="B80" s="90">
        <f>IF(Match!B34="","",Match!B34)</f>
        <v>45380</v>
      </c>
      <c r="C80" s="503">
        <f t="shared" si="8"/>
        <v>6</v>
      </c>
      <c r="G80" s="145" t="str">
        <f t="shared" si="5"/>
        <v>Salford draw</v>
      </c>
      <c r="H80" s="146" t="str">
        <f t="shared" si="6"/>
        <v>14/5</v>
      </c>
      <c r="I80" s="175">
        <f t="shared" si="7"/>
        <v>3.8</v>
      </c>
      <c r="J80" s="146">
        <f>INDEX(Picks!T:T,MATCH(G80,Picks!R:R,0))</f>
        <v>0</v>
      </c>
      <c r="K80" s="146">
        <f>IF(INDEX(Match!P:P,MATCH(A80,Match!A:A,0))="OFF",0,1)</f>
        <v>1</v>
      </c>
    </row>
    <row r="81" spans="1:11">
      <c r="A81" s="4">
        <v>34</v>
      </c>
      <c r="B81" s="90">
        <f>IF(Match!B35="","",Match!B35)</f>
        <v>45380</v>
      </c>
      <c r="C81" s="503">
        <f t="shared" si="8"/>
        <v>6</v>
      </c>
      <c r="G81" s="145" t="str">
        <f t="shared" si="5"/>
        <v>Swindon draw</v>
      </c>
      <c r="H81" s="146" t="str">
        <f t="shared" si="6"/>
        <v>29/10</v>
      </c>
      <c r="I81" s="175">
        <f t="shared" si="7"/>
        <v>3.9</v>
      </c>
      <c r="J81" s="146">
        <f>INDEX(Picks!T:T,MATCH(G81,Picks!R:R,0))</f>
        <v>0</v>
      </c>
      <c r="K81" s="146">
        <f>IF(INDEX(Match!P:P,MATCH(A81,Match!A:A,0))="OFF",0,1)</f>
        <v>1</v>
      </c>
    </row>
    <row r="82" spans="1:11">
      <c r="A82" s="4">
        <v>35</v>
      </c>
      <c r="B82" s="90">
        <f>IF(Match!B36="","",Match!B36)</f>
        <v>45380</v>
      </c>
      <c r="C82" s="503">
        <f t="shared" si="8"/>
        <v>6</v>
      </c>
      <c r="G82" s="145" t="str">
        <f t="shared" si="5"/>
        <v>Wimbledon draw</v>
      </c>
      <c r="H82" s="146" t="str">
        <f t="shared" si="6"/>
        <v>3/1</v>
      </c>
      <c r="I82" s="175">
        <f t="shared" si="7"/>
        <v>4</v>
      </c>
      <c r="J82" s="146">
        <f>INDEX(Picks!T:T,MATCH(G82,Picks!R:R,0))</f>
        <v>1</v>
      </c>
      <c r="K82" s="146">
        <f>IF(INDEX(Match!P:P,MATCH(A82,Match!A:A,0))="OFF",0,1)</f>
        <v>1</v>
      </c>
    </row>
    <row r="83" spans="1:11">
      <c r="A83" s="4">
        <v>36</v>
      </c>
      <c r="B83" s="90">
        <f>IF(Match!B37="","",Match!B37)</f>
        <v>45380</v>
      </c>
      <c r="C83" s="503">
        <f t="shared" si="8"/>
        <v>6</v>
      </c>
      <c r="G83" s="145" t="str">
        <f t="shared" si="5"/>
        <v>Wrexham draw</v>
      </c>
      <c r="H83" s="146" t="str">
        <f t="shared" si="6"/>
        <v>13/5</v>
      </c>
      <c r="I83" s="175">
        <f t="shared" si="7"/>
        <v>3.6</v>
      </c>
      <c r="J83" s="146">
        <f>INDEX(Picks!T:T,MATCH(G83,Picks!R:R,0))</f>
        <v>0</v>
      </c>
      <c r="K83" s="146">
        <f>IF(INDEX(Match!P:P,MATCH(A83,Match!A:A,0))="OFF",0,1)</f>
        <v>1</v>
      </c>
    </row>
    <row r="84" spans="1:11">
      <c r="A84" s="4">
        <v>37</v>
      </c>
      <c r="B84" s="90">
        <f>IF(Match!B38="","",Match!B38)</f>
        <v>45381</v>
      </c>
      <c r="C84" s="503">
        <f t="shared" si="8"/>
        <v>7</v>
      </c>
      <c r="G84" s="145" t="str">
        <f t="shared" si="5"/>
        <v>Bournemouth draw</v>
      </c>
      <c r="H84" s="146" t="str">
        <f t="shared" si="6"/>
        <v>27/10</v>
      </c>
      <c r="I84" s="175">
        <f t="shared" si="7"/>
        <v>3.7</v>
      </c>
      <c r="J84" s="146">
        <f>INDEX(Picks!T:T,MATCH(G84,Picks!R:R,0))</f>
        <v>0</v>
      </c>
      <c r="K84" s="146">
        <f>IF(INDEX(Match!P:P,MATCH(A84,Match!A:A,0))="OFF",0,1)</f>
        <v>1</v>
      </c>
    </row>
    <row r="85" spans="1:11">
      <c r="A85" s="4">
        <v>38</v>
      </c>
      <c r="B85" s="90">
        <f>IF(Match!B39="","",Match!B39)</f>
        <v>45381</v>
      </c>
      <c r="C85" s="503">
        <f t="shared" si="8"/>
        <v>7</v>
      </c>
      <c r="G85" s="145" t="str">
        <f t="shared" si="5"/>
        <v>Brentford draw</v>
      </c>
      <c r="H85" s="146" t="str">
        <f t="shared" si="6"/>
        <v>14/5</v>
      </c>
      <c r="I85" s="175">
        <f t="shared" si="7"/>
        <v>3.8</v>
      </c>
      <c r="J85" s="146">
        <f>INDEX(Picks!T:T,MATCH(G85,Picks!R:R,0))</f>
        <v>1</v>
      </c>
      <c r="K85" s="146">
        <f>IF(INDEX(Match!P:P,MATCH(A85,Match!A:A,0))="OFF",0,1)</f>
        <v>1</v>
      </c>
    </row>
    <row r="86" spans="1:11">
      <c r="A86" s="4">
        <v>39</v>
      </c>
      <c r="B86" s="90">
        <f>IF(Match!B40="","",Match!B40)</f>
        <v>45381</v>
      </c>
      <c r="C86" s="503">
        <f t="shared" si="8"/>
        <v>7</v>
      </c>
      <c r="G86" s="145" t="str">
        <f t="shared" si="5"/>
        <v>Chelsea draw</v>
      </c>
      <c r="H86" s="146" t="str">
        <f t="shared" si="6"/>
        <v>24/5</v>
      </c>
      <c r="I86" s="175">
        <f t="shared" si="7"/>
        <v>5.8</v>
      </c>
      <c r="J86" s="146">
        <f>INDEX(Picks!T:T,MATCH(G86,Picks!R:R,0))</f>
        <v>1</v>
      </c>
      <c r="K86" s="146">
        <f>IF(INDEX(Match!P:P,MATCH(A86,Match!A:A,0))="OFF",0,1)</f>
        <v>1</v>
      </c>
    </row>
    <row r="87" spans="1:11">
      <c r="A87" s="4">
        <v>40</v>
      </c>
      <c r="B87" s="90">
        <f>IF(Match!B41="","",Match!B41)</f>
        <v>45381</v>
      </c>
      <c r="C87" s="503">
        <f t="shared" si="8"/>
        <v>7</v>
      </c>
      <c r="G87" s="145" t="str">
        <f t="shared" si="5"/>
        <v>Forest draw</v>
      </c>
      <c r="H87" s="146" t="str">
        <f t="shared" si="6"/>
        <v>12/5</v>
      </c>
      <c r="I87" s="175">
        <f t="shared" si="7"/>
        <v>3.4</v>
      </c>
      <c r="J87" s="146">
        <f>INDEX(Picks!T:T,MATCH(G87,Picks!R:R,0))</f>
        <v>1</v>
      </c>
      <c r="K87" s="146">
        <f>IF(INDEX(Match!P:P,MATCH(A87,Match!A:A,0))="OFF",0,1)</f>
        <v>1</v>
      </c>
    </row>
    <row r="88" spans="1:11">
      <c r="A88" s="4">
        <v>41</v>
      </c>
      <c r="B88" s="90">
        <f>IF(Match!B42="","",Match!B42)</f>
        <v>45381</v>
      </c>
      <c r="C88" s="503">
        <f t="shared" si="8"/>
        <v>7</v>
      </c>
      <c r="G88" s="145" t="str">
        <f t="shared" si="5"/>
        <v>Newcastle draw</v>
      </c>
      <c r="H88" s="146" t="str">
        <f t="shared" si="6"/>
        <v>3/1</v>
      </c>
      <c r="I88" s="175">
        <f t="shared" si="7"/>
        <v>4</v>
      </c>
      <c r="J88" s="146">
        <f>INDEX(Picks!T:T,MATCH(G88,Picks!R:R,0))</f>
        <v>0</v>
      </c>
      <c r="K88" s="146">
        <f>IF(INDEX(Match!P:P,MATCH(A88,Match!A:A,0))="OFF",0,1)</f>
        <v>1</v>
      </c>
    </row>
    <row r="89" spans="1:11">
      <c r="A89" s="4">
        <v>42</v>
      </c>
      <c r="B89" s="90">
        <f>IF(Match!B43="","",Match!B43)</f>
        <v>45381</v>
      </c>
      <c r="C89" s="503">
        <f t="shared" si="8"/>
        <v>7</v>
      </c>
      <c r="G89" s="145" t="str">
        <f t="shared" si="5"/>
        <v>Sheff U draw</v>
      </c>
      <c r="H89" s="146" t="str">
        <f t="shared" si="6"/>
        <v>3/1</v>
      </c>
      <c r="I89" s="175">
        <f t="shared" si="7"/>
        <v>4</v>
      </c>
      <c r="J89" s="146">
        <f>INDEX(Picks!T:T,MATCH(G89,Picks!R:R,0))</f>
        <v>1</v>
      </c>
      <c r="K89" s="146">
        <f>IF(INDEX(Match!P:P,MATCH(A89,Match!A:A,0))="OFF",0,1)</f>
        <v>1</v>
      </c>
    </row>
    <row r="90" spans="1:11">
      <c r="A90" s="4">
        <v>43</v>
      </c>
      <c r="B90" s="90">
        <f>IF(Match!B44="","",Match!B44)</f>
        <v>45381</v>
      </c>
      <c r="C90" s="503">
        <f t="shared" si="8"/>
        <v>7</v>
      </c>
      <c r="G90" s="145" t="str">
        <f t="shared" si="5"/>
        <v>Spurs draw</v>
      </c>
      <c r="H90" s="146" t="str">
        <f t="shared" si="6"/>
        <v>6/1</v>
      </c>
      <c r="I90" s="175">
        <f t="shared" si="7"/>
        <v>7</v>
      </c>
      <c r="J90" s="146">
        <f>INDEX(Picks!T:T,MATCH(G90,Picks!R:R,0))</f>
        <v>0</v>
      </c>
      <c r="K90" s="146">
        <f>IF(INDEX(Match!P:P,MATCH(A90,Match!A:A,0))="OFF",0,1)</f>
        <v>1</v>
      </c>
    </row>
    <row r="91" spans="1:11">
      <c r="A91" s="4">
        <v>44</v>
      </c>
      <c r="B91" s="90">
        <f>IF(Match!B45="","",Match!B45)</f>
        <v>45381</v>
      </c>
      <c r="C91" s="503">
        <f t="shared" si="8"/>
        <v>7</v>
      </c>
      <c r="G91" s="145" t="str">
        <f t="shared" si="5"/>
        <v>Villa draw</v>
      </c>
      <c r="H91" s="146" t="str">
        <f t="shared" si="6"/>
        <v>10/3</v>
      </c>
      <c r="I91" s="175">
        <f t="shared" si="7"/>
        <v>4.3333333333333339</v>
      </c>
      <c r="J91" s="146">
        <f>INDEX(Picks!T:T,MATCH(G91,Picks!R:R,0))</f>
        <v>0</v>
      </c>
      <c r="K91" s="146">
        <f>IF(INDEX(Match!P:P,MATCH(A91,Match!A:A,0))="OFF",0,1)</f>
        <v>1</v>
      </c>
    </row>
    <row r="92" spans="1:11">
      <c r="A92" s="4">
        <v>45</v>
      </c>
      <c r="B92" s="90">
        <f>IF(Match!B46="","",Match!B46)</f>
        <v>45382</v>
      </c>
      <c r="C92" s="503">
        <f t="shared" si="8"/>
        <v>1</v>
      </c>
      <c r="G92" s="145" t="str">
        <f t="shared" si="5"/>
        <v>Liverpool draw</v>
      </c>
      <c r="H92" s="146" t="str">
        <f t="shared" si="6"/>
        <v>9/2</v>
      </c>
      <c r="I92" s="175">
        <f t="shared" si="7"/>
        <v>5.5</v>
      </c>
      <c r="J92" s="146">
        <f>INDEX(Picks!T:T,MATCH(G92,Picks!R:R,0))</f>
        <v>0</v>
      </c>
      <c r="K92" s="146">
        <f>IF(INDEX(Match!P:P,MATCH(A92,Match!A:A,0))="OFF",0,1)</f>
        <v>1</v>
      </c>
    </row>
    <row r="93" spans="1:11">
      <c r="A93" s="4">
        <v>46</v>
      </c>
      <c r="B93" s="90">
        <f>IF(Match!B47="","",Match!B47)</f>
        <v>45382</v>
      </c>
      <c r="C93" s="503">
        <f t="shared" si="8"/>
        <v>1</v>
      </c>
      <c r="G93" s="145" t="str">
        <f t="shared" si="5"/>
        <v>Man C draw</v>
      </c>
      <c r="H93" s="146" t="str">
        <f t="shared" si="6"/>
        <v>3/1</v>
      </c>
      <c r="I93" s="175">
        <f t="shared" si="7"/>
        <v>4</v>
      </c>
      <c r="J93" s="146">
        <f>INDEX(Picks!T:T,MATCH(G93,Picks!R:R,0))</f>
        <v>1</v>
      </c>
      <c r="K93" s="146">
        <f>IF(INDEX(Match!P:P,MATCH(A93,Match!A:A,0))="OFF",0,1)</f>
        <v>1</v>
      </c>
    </row>
    <row r="94" spans="1:11">
      <c r="A94" s="4">
        <v>1</v>
      </c>
      <c r="B94" s="90">
        <f>IF(Match!B2="","",Match!B2)</f>
        <v>45380</v>
      </c>
      <c r="C94" s="503">
        <f t="shared" si="8"/>
        <v>6</v>
      </c>
      <c r="G94" s="147" t="str">
        <f t="shared" ref="G94:G139" si="9">IF(E2="","",N2)</f>
        <v>Ipswich</v>
      </c>
      <c r="H94" s="148" t="str">
        <f t="shared" ref="H94:H139" si="10">IF(E2="","",P2)</f>
        <v>17/20</v>
      </c>
      <c r="I94" s="176">
        <f>IF(E2="","",S2)</f>
        <v>1.85</v>
      </c>
      <c r="J94" s="148">
        <f>INDEX(Picks!T:T,MATCH(G94,Picks!R:R,0))</f>
        <v>1</v>
      </c>
      <c r="K94" s="148">
        <f>IF(INDEX(Match!P:P,MATCH(A94,Match!A:A,0))="OFF",0,1)</f>
        <v>1</v>
      </c>
    </row>
    <row r="95" spans="1:11">
      <c r="A95" s="4">
        <v>2</v>
      </c>
      <c r="B95" s="90">
        <f>IF(Match!B3="","",Match!B3)</f>
        <v>45380</v>
      </c>
      <c r="C95" s="503">
        <f t="shared" si="8"/>
        <v>6</v>
      </c>
      <c r="E95" s="8"/>
      <c r="F95" s="8"/>
      <c r="G95" s="147" t="str">
        <f t="shared" si="9"/>
        <v>Leicester</v>
      </c>
      <c r="H95" s="148" t="str">
        <f t="shared" si="10"/>
        <v>4/5</v>
      </c>
      <c r="I95" s="176">
        <f t="shared" ref="I95:I139" si="11">IF(E3="","",S3)</f>
        <v>1.8</v>
      </c>
      <c r="J95" s="148">
        <f>INDEX(Picks!T:T,MATCH(G95,Picks!R:R,0))</f>
        <v>0</v>
      </c>
      <c r="K95" s="148">
        <f>IF(INDEX(Match!P:P,MATCH(A95,Match!A:A,0))="OFF",0,1)</f>
        <v>1</v>
      </c>
    </row>
    <row r="96" spans="1:11">
      <c r="A96" s="4">
        <v>3</v>
      </c>
      <c r="B96" s="90">
        <f>IF(Match!B4="","",Match!B4)</f>
        <v>45380</v>
      </c>
      <c r="C96" s="503">
        <f t="shared" si="8"/>
        <v>6</v>
      </c>
      <c r="G96" s="147" t="str">
        <f t="shared" si="9"/>
        <v>Sunderland</v>
      </c>
      <c r="H96" s="148" t="str">
        <f t="shared" si="10"/>
        <v>7/4</v>
      </c>
      <c r="I96" s="176">
        <f t="shared" si="11"/>
        <v>2.75</v>
      </c>
      <c r="J96" s="148">
        <f>INDEX(Picks!T:T,MATCH(G96,Picks!R:R,0))</f>
        <v>1</v>
      </c>
      <c r="K96" s="148">
        <f>IF(INDEX(Match!P:P,MATCH(A96,Match!A:A,0))="OFF",0,1)</f>
        <v>1</v>
      </c>
    </row>
    <row r="97" spans="1:11">
      <c r="A97" s="4">
        <v>4</v>
      </c>
      <c r="B97" s="90">
        <f>IF(Match!B5="","",Match!B5)</f>
        <v>45380</v>
      </c>
      <c r="C97" s="503">
        <f t="shared" si="8"/>
        <v>6</v>
      </c>
      <c r="G97" s="147" t="str">
        <f t="shared" si="9"/>
        <v>Coventry</v>
      </c>
      <c r="H97" s="148" t="str">
        <f t="shared" si="10"/>
        <v>11/8</v>
      </c>
      <c r="I97" s="176">
        <f t="shared" si="11"/>
        <v>2.375</v>
      </c>
      <c r="J97" s="148">
        <f>INDEX(Picks!T:T,MATCH(G97,Picks!R:R,0))</f>
        <v>1</v>
      </c>
      <c r="K97" s="148">
        <f>IF(INDEX(Match!P:P,MATCH(A97,Match!A:A,0))="OFF",0,1)</f>
        <v>1</v>
      </c>
    </row>
    <row r="98" spans="1:11">
      <c r="A98" s="4">
        <v>5</v>
      </c>
      <c r="B98" s="90">
        <f>IF(Match!B6="","",Match!B6)</f>
        <v>45380</v>
      </c>
      <c r="C98" s="503">
        <f t="shared" si="8"/>
        <v>6</v>
      </c>
      <c r="G98" s="147" t="str">
        <f t="shared" si="9"/>
        <v>Stoke</v>
      </c>
      <c r="H98" s="148" t="str">
        <f t="shared" si="10"/>
        <v>29/10</v>
      </c>
      <c r="I98" s="176">
        <f t="shared" si="11"/>
        <v>3.9</v>
      </c>
      <c r="J98" s="148">
        <f>INDEX(Picks!T:T,MATCH(G98,Picks!R:R,0))</f>
        <v>1</v>
      </c>
      <c r="K98" s="148">
        <f>IF(INDEX(Match!P:P,MATCH(A98,Match!A:A,0))="OFF",0,1)</f>
        <v>1</v>
      </c>
    </row>
    <row r="99" spans="1:11">
      <c r="A99" s="4">
        <v>6</v>
      </c>
      <c r="B99" s="90">
        <f>IF(Match!B7="","",Match!B7)</f>
        <v>45380</v>
      </c>
      <c r="C99" s="503">
        <f t="shared" si="8"/>
        <v>6</v>
      </c>
      <c r="G99" s="147" t="str">
        <f t="shared" si="9"/>
        <v>West Brom</v>
      </c>
      <c r="H99" s="148" t="str">
        <f t="shared" si="10"/>
        <v>11/8</v>
      </c>
      <c r="I99" s="176">
        <f t="shared" si="11"/>
        <v>2.375</v>
      </c>
      <c r="J99" s="148">
        <f>INDEX(Picks!T:T,MATCH(G99,Picks!R:R,0))</f>
        <v>0</v>
      </c>
      <c r="K99" s="148">
        <f>IF(INDEX(Match!P:P,MATCH(A99,Match!A:A,0))="OFF",0,1)</f>
        <v>1</v>
      </c>
    </row>
    <row r="100" spans="1:11">
      <c r="A100" s="4">
        <v>7</v>
      </c>
      <c r="B100" s="90">
        <f>IF(Match!B8="","",Match!B8)</f>
        <v>45380</v>
      </c>
      <c r="C100" s="503">
        <f t="shared" si="8"/>
        <v>6</v>
      </c>
      <c r="G100" s="147" t="str">
        <f t="shared" si="9"/>
        <v>Plymouth</v>
      </c>
      <c r="H100" s="148" t="str">
        <f t="shared" si="10"/>
        <v>5/1</v>
      </c>
      <c r="I100" s="176">
        <f t="shared" si="11"/>
        <v>6</v>
      </c>
      <c r="J100" s="148">
        <f>INDEX(Picks!T:T,MATCH(G100,Picks!R:R,0))</f>
        <v>0</v>
      </c>
      <c r="K100" s="148">
        <f>IF(INDEX(Match!P:P,MATCH(A100,Match!A:A,0))="OFF",0,1)</f>
        <v>1</v>
      </c>
    </row>
    <row r="101" spans="1:11">
      <c r="A101" s="4">
        <v>8</v>
      </c>
      <c r="B101" s="90">
        <f>IF(Match!B9="","",Match!B9)</f>
        <v>45380</v>
      </c>
      <c r="C101" s="503">
        <f t="shared" si="8"/>
        <v>6</v>
      </c>
      <c r="G101" s="147" t="str">
        <f t="shared" si="9"/>
        <v>Rotherham</v>
      </c>
      <c r="H101" s="148" t="str">
        <f t="shared" si="10"/>
        <v>11/2</v>
      </c>
      <c r="I101" s="176">
        <f t="shared" si="11"/>
        <v>6.5</v>
      </c>
      <c r="J101" s="148">
        <f>INDEX(Picks!T:T,MATCH(G101,Picks!R:R,0))</f>
        <v>0</v>
      </c>
      <c r="K101" s="148">
        <f>IF(INDEX(Match!P:P,MATCH(A101,Match!A:A,0))="OFF",0,1)</f>
        <v>1</v>
      </c>
    </row>
    <row r="102" spans="1:11">
      <c r="A102" s="4">
        <v>9</v>
      </c>
      <c r="B102" s="90">
        <f>IF(Match!B10="","",Match!B10)</f>
        <v>45380</v>
      </c>
      <c r="C102" s="503">
        <f t="shared" si="8"/>
        <v>6</v>
      </c>
      <c r="G102" s="147" t="str">
        <f t="shared" si="9"/>
        <v>Birmingham</v>
      </c>
      <c r="H102" s="148" t="str">
        <f t="shared" si="10"/>
        <v>11/4</v>
      </c>
      <c r="I102" s="176">
        <f t="shared" si="11"/>
        <v>3.75</v>
      </c>
      <c r="J102" s="148">
        <f>INDEX(Picks!T:T,MATCH(G102,Picks!R:R,0))</f>
        <v>0</v>
      </c>
      <c r="K102" s="148">
        <f>IF(INDEX(Match!P:P,MATCH(A102,Match!A:A,0))="OFF",0,1)</f>
        <v>1</v>
      </c>
    </row>
    <row r="103" spans="1:11">
      <c r="A103" s="4">
        <v>10</v>
      </c>
      <c r="B103" s="90">
        <f>IF(Match!B11="","",Match!B11)</f>
        <v>45380</v>
      </c>
      <c r="C103" s="503">
        <f t="shared" si="8"/>
        <v>6</v>
      </c>
      <c r="G103" s="147" t="str">
        <f t="shared" si="9"/>
        <v>Swansea</v>
      </c>
      <c r="H103" s="148" t="str">
        <f t="shared" si="10"/>
        <v>9/5</v>
      </c>
      <c r="I103" s="176">
        <f t="shared" si="11"/>
        <v>2.8</v>
      </c>
      <c r="J103" s="148">
        <f>INDEX(Picks!T:T,MATCH(G103,Picks!R:R,0))</f>
        <v>0</v>
      </c>
      <c r="K103" s="148">
        <f>IF(INDEX(Match!P:P,MATCH(A103,Match!A:A,0))="OFF",0,1)</f>
        <v>1</v>
      </c>
    </row>
    <row r="104" spans="1:11">
      <c r="A104" s="4">
        <v>11</v>
      </c>
      <c r="B104" s="90">
        <f>IF(Match!B12="","",Match!B12)</f>
        <v>45380</v>
      </c>
      <c r="C104" s="503">
        <f t="shared" si="8"/>
        <v>6</v>
      </c>
      <c r="G104" s="147" t="str">
        <f t="shared" si="9"/>
        <v>Middlesbro</v>
      </c>
      <c r="H104" s="148" t="str">
        <f t="shared" si="10"/>
        <v>4/1</v>
      </c>
      <c r="I104" s="176">
        <f t="shared" si="11"/>
        <v>5</v>
      </c>
      <c r="J104" s="148">
        <f>INDEX(Picks!T:T,MATCH(G104,Picks!R:R,0))</f>
        <v>0</v>
      </c>
      <c r="K104" s="148">
        <f>IF(INDEX(Match!P:P,MATCH(A104,Match!A:A,0))="OFF",0,1)</f>
        <v>1</v>
      </c>
    </row>
    <row r="105" spans="1:11">
      <c r="A105" s="4">
        <v>12</v>
      </c>
      <c r="B105" s="90">
        <f>IF(Match!B13="","",Match!B13)</f>
        <v>45380</v>
      </c>
      <c r="C105" s="503">
        <f t="shared" si="8"/>
        <v>6</v>
      </c>
      <c r="G105" s="147" t="str">
        <f t="shared" si="9"/>
        <v>Leeds</v>
      </c>
      <c r="H105" s="148" t="str">
        <f t="shared" si="10"/>
        <v>8/13</v>
      </c>
      <c r="I105" s="176">
        <f t="shared" si="11"/>
        <v>1.6153846153846154</v>
      </c>
      <c r="J105" s="148">
        <f>INDEX(Picks!T:T,MATCH(G105,Picks!R:R,0))</f>
        <v>0</v>
      </c>
      <c r="K105" s="148">
        <f>IF(INDEX(Match!P:P,MATCH(A105,Match!A:A,0))="OFF",0,1)</f>
        <v>1</v>
      </c>
    </row>
    <row r="106" spans="1:11">
      <c r="A106" s="4">
        <v>13</v>
      </c>
      <c r="B106" s="90">
        <f>IF(Match!B14="","",Match!B14)</f>
        <v>45380</v>
      </c>
      <c r="C106" s="503">
        <f t="shared" si="8"/>
        <v>6</v>
      </c>
      <c r="G106" s="147" t="str">
        <f t="shared" si="9"/>
        <v>Cambridge</v>
      </c>
      <c r="H106" s="148" t="str">
        <f t="shared" si="10"/>
        <v>24/5</v>
      </c>
      <c r="I106" s="176">
        <f t="shared" si="11"/>
        <v>5.8</v>
      </c>
      <c r="J106" s="148">
        <f>INDEX(Picks!T:T,MATCH(G106,Picks!R:R,0))</f>
        <v>1</v>
      </c>
      <c r="K106" s="148">
        <f>IF(INDEX(Match!P:P,MATCH(A106,Match!A:A,0))="OFF",0,1)</f>
        <v>1</v>
      </c>
    </row>
    <row r="107" spans="1:11">
      <c r="A107" s="4">
        <v>14</v>
      </c>
      <c r="B107" s="90">
        <f>IF(Match!B15="","",Match!B15)</f>
        <v>45380</v>
      </c>
      <c r="C107" s="503">
        <f t="shared" si="8"/>
        <v>6</v>
      </c>
      <c r="G107" s="147" t="str">
        <f t="shared" si="9"/>
        <v>Blackpool</v>
      </c>
      <c r="H107" s="148" t="str">
        <f t="shared" si="10"/>
        <v>3/1</v>
      </c>
      <c r="I107" s="176">
        <f t="shared" si="11"/>
        <v>4</v>
      </c>
      <c r="J107" s="148">
        <f>INDEX(Picks!T:T,MATCH(G107,Picks!R:R,0))</f>
        <v>0</v>
      </c>
      <c r="K107" s="148">
        <f>IF(INDEX(Match!P:P,MATCH(A107,Match!A:A,0))="OFF",0,1)</f>
        <v>1</v>
      </c>
    </row>
    <row r="108" spans="1:11">
      <c r="A108" s="4">
        <v>15</v>
      </c>
      <c r="B108" s="90">
        <f>IF(Match!B16="","",Match!B16)</f>
        <v>45380</v>
      </c>
      <c r="C108" s="503">
        <f t="shared" si="8"/>
        <v>6</v>
      </c>
      <c r="G108" s="147" t="str">
        <f t="shared" si="9"/>
        <v>Charlton</v>
      </c>
      <c r="H108" s="148" t="str">
        <f t="shared" si="10"/>
        <v>8/5</v>
      </c>
      <c r="I108" s="176">
        <f t="shared" si="11"/>
        <v>2.6</v>
      </c>
      <c r="J108" s="148">
        <f>INDEX(Picks!T:T,MATCH(G108,Picks!R:R,0))</f>
        <v>0</v>
      </c>
      <c r="K108" s="148">
        <f>IF(INDEX(Match!P:P,MATCH(A108,Match!A:A,0))="OFF",0,1)</f>
        <v>1</v>
      </c>
    </row>
    <row r="109" spans="1:11">
      <c r="A109" s="4">
        <v>16</v>
      </c>
      <c r="B109" s="90">
        <f>IF(Match!B17="","",Match!B17)</f>
        <v>45380</v>
      </c>
      <c r="C109" s="503">
        <f t="shared" si="8"/>
        <v>6</v>
      </c>
      <c r="G109" s="147" t="str">
        <f t="shared" si="9"/>
        <v>Cheltenham</v>
      </c>
      <c r="H109" s="148" t="str">
        <f t="shared" si="10"/>
        <v>5/2</v>
      </c>
      <c r="I109" s="176">
        <f t="shared" si="11"/>
        <v>3.5</v>
      </c>
      <c r="J109" s="148">
        <f>INDEX(Picks!T:T,MATCH(G109,Picks!R:R,0))</f>
        <v>1</v>
      </c>
      <c r="K109" s="148">
        <f>IF(INDEX(Match!P:P,MATCH(A109,Match!A:A,0))="OFF",0,1)</f>
        <v>1</v>
      </c>
    </row>
    <row r="110" spans="1:11">
      <c r="A110" s="4">
        <v>17</v>
      </c>
      <c r="B110" s="90">
        <f>IF(Match!B18="","",Match!B18)</f>
        <v>45380</v>
      </c>
      <c r="C110" s="503">
        <f t="shared" si="8"/>
        <v>6</v>
      </c>
      <c r="G110" s="147" t="str">
        <f t="shared" si="9"/>
        <v>Orient</v>
      </c>
      <c r="H110" s="148" t="str">
        <f t="shared" si="10"/>
        <v>27/10</v>
      </c>
      <c r="I110" s="176">
        <f t="shared" si="11"/>
        <v>3.7</v>
      </c>
      <c r="J110" s="148">
        <f>INDEX(Picks!T:T,MATCH(G110,Picks!R:R,0))</f>
        <v>0</v>
      </c>
      <c r="K110" s="148">
        <f>IF(INDEX(Match!P:P,MATCH(A110,Match!A:A,0))="OFF",0,1)</f>
        <v>1</v>
      </c>
    </row>
    <row r="111" spans="1:11">
      <c r="A111" s="4">
        <v>18</v>
      </c>
      <c r="B111" s="90">
        <f>IF(Match!B19="","",Match!B19)</f>
        <v>45380</v>
      </c>
      <c r="C111" s="503">
        <f t="shared" si="8"/>
        <v>6</v>
      </c>
      <c r="G111" s="147" t="str">
        <f t="shared" si="9"/>
        <v>Carlisle</v>
      </c>
      <c r="H111" s="148" t="str">
        <f t="shared" si="10"/>
        <v>8/1</v>
      </c>
      <c r="I111" s="176">
        <f t="shared" si="11"/>
        <v>9</v>
      </c>
      <c r="J111" s="148">
        <f>INDEX(Picks!T:T,MATCH(G111,Picks!R:R,0))</f>
        <v>1</v>
      </c>
      <c r="K111" s="148">
        <f>IF(INDEX(Match!P:P,MATCH(A111,Match!A:A,0))="OFF",0,1)</f>
        <v>1</v>
      </c>
    </row>
    <row r="112" spans="1:11">
      <c r="A112" s="4">
        <v>19</v>
      </c>
      <c r="B112" s="90">
        <f>IF(Match!B20="","",Match!B20)</f>
        <v>45380</v>
      </c>
      <c r="C112" s="503">
        <f t="shared" si="8"/>
        <v>6</v>
      </c>
      <c r="G112" s="147" t="str">
        <f t="shared" si="9"/>
        <v>Bristol R</v>
      </c>
      <c r="H112" s="148" t="str">
        <f t="shared" si="10"/>
        <v>8/5</v>
      </c>
      <c r="I112" s="176">
        <f t="shared" si="11"/>
        <v>2.6</v>
      </c>
      <c r="J112" s="148">
        <f>INDEX(Picks!T:T,MATCH(G112,Picks!R:R,0))</f>
        <v>0</v>
      </c>
      <c r="K112" s="148">
        <f>IF(INDEX(Match!P:P,MATCH(A112,Match!A:A,0))="OFF",0,1)</f>
        <v>1</v>
      </c>
    </row>
    <row r="113" spans="1:11">
      <c r="A113" s="4">
        <v>20</v>
      </c>
      <c r="B113" s="90">
        <f>IF(Match!B21="","",Match!B21)</f>
        <v>45380</v>
      </c>
      <c r="C113" s="503">
        <f t="shared" si="8"/>
        <v>6</v>
      </c>
      <c r="G113" s="147" t="str">
        <f t="shared" si="9"/>
        <v>Northampton</v>
      </c>
      <c r="H113" s="148" t="str">
        <f t="shared" si="10"/>
        <v>7/2</v>
      </c>
      <c r="I113" s="176">
        <f t="shared" si="11"/>
        <v>4.5</v>
      </c>
      <c r="J113" s="148">
        <f>INDEX(Picks!T:T,MATCH(G113,Picks!R:R,0))</f>
        <v>0</v>
      </c>
      <c r="K113" s="148">
        <f>IF(INDEX(Match!P:P,MATCH(A113,Match!A:A,0))="OFF",0,1)</f>
        <v>1</v>
      </c>
    </row>
    <row r="114" spans="1:11">
      <c r="A114" s="4">
        <v>21</v>
      </c>
      <c r="B114" s="90">
        <f>IF(Match!B22="","",Match!B22)</f>
        <v>45380</v>
      </c>
      <c r="C114" s="503">
        <f t="shared" si="8"/>
        <v>6</v>
      </c>
      <c r="G114" s="147" t="str">
        <f t="shared" si="9"/>
        <v>Oxford</v>
      </c>
      <c r="H114" s="148" t="str">
        <f t="shared" si="10"/>
        <v>19/20</v>
      </c>
      <c r="I114" s="176">
        <f t="shared" si="11"/>
        <v>1.95</v>
      </c>
      <c r="J114" s="148">
        <f>INDEX(Picks!T:T,MATCH(G114,Picks!R:R,0))</f>
        <v>0</v>
      </c>
      <c r="K114" s="148">
        <f>IF(INDEX(Match!P:P,MATCH(A114,Match!A:A,0))="OFF",0,1)</f>
        <v>1</v>
      </c>
    </row>
    <row r="115" spans="1:11">
      <c r="A115" s="4">
        <v>22</v>
      </c>
      <c r="B115" s="90">
        <f>IF(Match!B23="","",Match!B23)</f>
        <v>45380</v>
      </c>
      <c r="C115" s="503">
        <f t="shared" si="8"/>
        <v>6</v>
      </c>
      <c r="G115" s="147" t="str">
        <f t="shared" si="9"/>
        <v>Bolton</v>
      </c>
      <c r="H115" s="148" t="str">
        <f t="shared" si="10"/>
        <v>8/5</v>
      </c>
      <c r="I115" s="176">
        <f t="shared" si="11"/>
        <v>2.6</v>
      </c>
      <c r="J115" s="148">
        <f>INDEX(Picks!T:T,MATCH(G115,Picks!R:R,0))</f>
        <v>0</v>
      </c>
      <c r="K115" s="148">
        <f>IF(INDEX(Match!P:P,MATCH(A115,Match!A:A,0))="OFF",0,1)</f>
        <v>1</v>
      </c>
    </row>
    <row r="116" spans="1:11">
      <c r="A116" s="4">
        <v>23</v>
      </c>
      <c r="B116" s="90">
        <f>IF(Match!B24="","",Match!B24)</f>
        <v>45380</v>
      </c>
      <c r="C116" s="503">
        <f t="shared" si="8"/>
        <v>6</v>
      </c>
      <c r="G116" s="147" t="str">
        <f t="shared" si="9"/>
        <v>Burton</v>
      </c>
      <c r="H116" s="148" t="str">
        <f t="shared" si="10"/>
        <v>11/4</v>
      </c>
      <c r="I116" s="176">
        <f t="shared" si="11"/>
        <v>3.75</v>
      </c>
      <c r="J116" s="148">
        <f>INDEX(Picks!T:T,MATCH(G116,Picks!R:R,0))</f>
        <v>0</v>
      </c>
      <c r="K116" s="148">
        <f>IF(INDEX(Match!P:P,MATCH(A116,Match!A:A,0))="OFF",0,1)</f>
        <v>1</v>
      </c>
    </row>
    <row r="117" spans="1:11">
      <c r="A117" s="4">
        <v>24</v>
      </c>
      <c r="B117" s="90">
        <f>IF(Match!B25="","",Match!B25)</f>
        <v>45380</v>
      </c>
      <c r="C117" s="503">
        <f t="shared" si="8"/>
        <v>6</v>
      </c>
      <c r="G117" s="147" t="str">
        <f t="shared" si="9"/>
        <v>Portsmouth</v>
      </c>
      <c r="H117" s="148" t="str">
        <f t="shared" si="10"/>
        <v>23/20</v>
      </c>
      <c r="I117" s="176">
        <f t="shared" si="11"/>
        <v>2.15</v>
      </c>
      <c r="J117" s="148">
        <f>INDEX(Picks!T:T,MATCH(G117,Picks!R:R,0))</f>
        <v>1</v>
      </c>
      <c r="K117" s="148">
        <f>IF(INDEX(Match!P:P,MATCH(A117,Match!A:A,0))="OFF",0,1)</f>
        <v>1</v>
      </c>
    </row>
    <row r="118" spans="1:11">
      <c r="A118" s="4">
        <v>25</v>
      </c>
      <c r="B118" s="90">
        <f>IF(Match!B26="","",Match!B26)</f>
        <v>45380</v>
      </c>
      <c r="C118" s="503">
        <f t="shared" si="8"/>
        <v>6</v>
      </c>
      <c r="G118" s="147" t="str">
        <f t="shared" si="9"/>
        <v>Morecambe</v>
      </c>
      <c r="H118" s="148" t="str">
        <f t="shared" si="10"/>
        <v>11/5</v>
      </c>
      <c r="I118" s="176">
        <f t="shared" si="11"/>
        <v>3.2</v>
      </c>
      <c r="J118" s="148">
        <f>INDEX(Picks!T:T,MATCH(G118,Picks!R:R,0))</f>
        <v>1</v>
      </c>
      <c r="K118" s="148">
        <f>IF(INDEX(Match!P:P,MATCH(A118,Match!A:A,0))="OFF",0,1)</f>
        <v>1</v>
      </c>
    </row>
    <row r="119" spans="1:11">
      <c r="A119" s="4">
        <v>26</v>
      </c>
      <c r="B119" s="90">
        <f>IF(Match!B27="","",Match!B27)</f>
        <v>45380</v>
      </c>
      <c r="C119" s="503">
        <f t="shared" si="8"/>
        <v>6</v>
      </c>
      <c r="G119" s="147" t="str">
        <f t="shared" si="9"/>
        <v>Grimsby</v>
      </c>
      <c r="H119" s="148" t="str">
        <f t="shared" si="10"/>
        <v>11/4</v>
      </c>
      <c r="I119" s="176">
        <f t="shared" si="11"/>
        <v>3.75</v>
      </c>
      <c r="J119" s="148">
        <f>INDEX(Picks!T:T,MATCH(G119,Picks!R:R,0))</f>
        <v>0</v>
      </c>
      <c r="K119" s="148">
        <f>IF(INDEX(Match!P:P,MATCH(A119,Match!A:A,0))="OFF",0,1)</f>
        <v>1</v>
      </c>
    </row>
    <row r="120" spans="1:11">
      <c r="A120" s="4">
        <v>27</v>
      </c>
      <c r="B120" s="90">
        <f>IF(Match!B28="","",Match!B28)</f>
        <v>45380</v>
      </c>
      <c r="C120" s="503">
        <f t="shared" si="8"/>
        <v>6</v>
      </c>
      <c r="G120" s="147" t="str">
        <f t="shared" si="9"/>
        <v>Tranmere</v>
      </c>
      <c r="H120" s="148" t="str">
        <f t="shared" si="10"/>
        <v>5/2</v>
      </c>
      <c r="I120" s="176">
        <f t="shared" si="11"/>
        <v>3.5</v>
      </c>
      <c r="J120" s="148">
        <f>INDEX(Picks!T:T,MATCH(G120,Picks!R:R,0))</f>
        <v>0</v>
      </c>
      <c r="K120" s="148">
        <f>IF(INDEX(Match!P:P,MATCH(A120,Match!A:A,0))="OFF",0,1)</f>
        <v>1</v>
      </c>
    </row>
    <row r="121" spans="1:11">
      <c r="A121" s="4">
        <v>28</v>
      </c>
      <c r="B121" s="90">
        <f>IF(Match!B29="","",Match!B29)</f>
        <v>45380</v>
      </c>
      <c r="C121" s="503">
        <f t="shared" si="8"/>
        <v>6</v>
      </c>
      <c r="G121" s="147" t="str">
        <f t="shared" si="9"/>
        <v>Newport</v>
      </c>
      <c r="H121" s="148" t="str">
        <f t="shared" si="10"/>
        <v>5/2</v>
      </c>
      <c r="I121" s="176">
        <f t="shared" si="11"/>
        <v>3.5</v>
      </c>
      <c r="J121" s="148">
        <f>INDEX(Picks!T:T,MATCH(G121,Picks!R:R,0))</f>
        <v>0</v>
      </c>
      <c r="K121" s="148">
        <f>IF(INDEX(Match!P:P,MATCH(A121,Match!A:A,0))="OFF",0,1)</f>
        <v>1</v>
      </c>
    </row>
    <row r="122" spans="1:11">
      <c r="A122" s="4">
        <v>29</v>
      </c>
      <c r="B122" s="90">
        <f>IF(Match!B30="","",Match!B30)</f>
        <v>45380</v>
      </c>
      <c r="C122" s="503">
        <f t="shared" si="8"/>
        <v>6</v>
      </c>
      <c r="G122" s="147" t="str">
        <f t="shared" si="9"/>
        <v>Doncaster</v>
      </c>
      <c r="H122" s="148" t="str">
        <f t="shared" si="10"/>
        <v>2/1</v>
      </c>
      <c r="I122" s="176">
        <f t="shared" si="11"/>
        <v>3</v>
      </c>
      <c r="J122" s="148">
        <f>INDEX(Picks!T:T,MATCH(G122,Picks!R:R,0))</f>
        <v>1</v>
      </c>
      <c r="K122" s="148">
        <f>IF(INDEX(Match!P:P,MATCH(A122,Match!A:A,0))="OFF",0,1)</f>
        <v>1</v>
      </c>
    </row>
    <row r="123" spans="1:11">
      <c r="A123" s="4">
        <v>30</v>
      </c>
      <c r="B123" s="90">
        <f>IF(Match!B31="","",Match!B31)</f>
        <v>45380</v>
      </c>
      <c r="C123" s="503">
        <f t="shared" si="8"/>
        <v>6</v>
      </c>
      <c r="G123" s="147" t="str">
        <f t="shared" si="9"/>
        <v>Stockport</v>
      </c>
      <c r="H123" s="148" t="str">
        <f t="shared" si="10"/>
        <v>13/20</v>
      </c>
      <c r="I123" s="176">
        <f t="shared" si="11"/>
        <v>1.65</v>
      </c>
      <c r="J123" s="148">
        <f>INDEX(Picks!T:T,MATCH(G123,Picks!R:R,0))</f>
        <v>1</v>
      </c>
      <c r="K123" s="148">
        <f>IF(INDEX(Match!P:P,MATCH(A123,Match!A:A,0))="OFF",0,1)</f>
        <v>1</v>
      </c>
    </row>
    <row r="124" spans="1:11">
      <c r="A124" s="4">
        <v>31</v>
      </c>
      <c r="B124" s="90">
        <f>IF(Match!B32="","",Match!B32)</f>
        <v>45380</v>
      </c>
      <c r="C124" s="503">
        <f t="shared" si="8"/>
        <v>6</v>
      </c>
      <c r="G124" s="147" t="str">
        <f t="shared" si="9"/>
        <v>Crewe</v>
      </c>
      <c r="H124" s="148" t="str">
        <f t="shared" si="10"/>
        <v>5/2</v>
      </c>
      <c r="I124" s="176">
        <f t="shared" si="11"/>
        <v>3.5</v>
      </c>
      <c r="J124" s="148">
        <f>INDEX(Picks!T:T,MATCH(G124,Picks!R:R,0))</f>
        <v>0</v>
      </c>
      <c r="K124" s="148">
        <f>IF(INDEX(Match!P:P,MATCH(A124,Match!A:A,0))="OFF",0,1)</f>
        <v>1</v>
      </c>
    </row>
    <row r="125" spans="1:11">
      <c r="A125" s="4">
        <v>32</v>
      </c>
      <c r="B125" s="90">
        <f>IF(Match!B33="","",Match!B33)</f>
        <v>45380</v>
      </c>
      <c r="C125" s="503">
        <f t="shared" si="8"/>
        <v>6</v>
      </c>
      <c r="G125" s="147" t="str">
        <f t="shared" si="9"/>
        <v>Walsall</v>
      </c>
      <c r="H125" s="148" t="str">
        <f t="shared" si="10"/>
        <v>13/5</v>
      </c>
      <c r="I125" s="176">
        <f t="shared" si="11"/>
        <v>3.6</v>
      </c>
      <c r="J125" s="148">
        <f>INDEX(Picks!T:T,MATCH(G125,Picks!R:R,0))</f>
        <v>0</v>
      </c>
      <c r="K125" s="148">
        <f>IF(INDEX(Match!P:P,MATCH(A125,Match!A:A,0))="OFF",0,1)</f>
        <v>1</v>
      </c>
    </row>
    <row r="126" spans="1:11">
      <c r="A126" s="4">
        <v>33</v>
      </c>
      <c r="B126" s="90">
        <f>IF(Match!B34="","",Match!B34)</f>
        <v>45380</v>
      </c>
      <c r="C126" s="503">
        <f t="shared" si="8"/>
        <v>6</v>
      </c>
      <c r="G126" s="147" t="str">
        <f t="shared" si="9"/>
        <v>Sutton</v>
      </c>
      <c r="H126" s="148" t="str">
        <f t="shared" si="10"/>
        <v>3/1</v>
      </c>
      <c r="I126" s="176">
        <f t="shared" si="11"/>
        <v>4</v>
      </c>
      <c r="J126" s="148">
        <f>INDEX(Picks!T:T,MATCH(G126,Picks!R:R,0))</f>
        <v>1</v>
      </c>
      <c r="K126" s="148">
        <f>IF(INDEX(Match!P:P,MATCH(A126,Match!A:A,0))="OFF",0,1)</f>
        <v>1</v>
      </c>
    </row>
    <row r="127" spans="1:11">
      <c r="A127" s="4">
        <v>34</v>
      </c>
      <c r="B127" s="90">
        <f>IF(Match!B35="","",Match!B35)</f>
        <v>45380</v>
      </c>
      <c r="C127" s="503">
        <f t="shared" si="8"/>
        <v>6</v>
      </c>
      <c r="G127" s="147" t="str">
        <f t="shared" si="9"/>
        <v>Notts Co</v>
      </c>
      <c r="H127" s="148" t="str">
        <f t="shared" si="10"/>
        <v>17/10</v>
      </c>
      <c r="I127" s="176">
        <f t="shared" si="11"/>
        <v>2.7</v>
      </c>
      <c r="J127" s="148">
        <f>INDEX(Picks!T:T,MATCH(G127,Picks!R:R,0))</f>
        <v>0</v>
      </c>
      <c r="K127" s="148">
        <f>IF(INDEX(Match!P:P,MATCH(A127,Match!A:A,0))="OFF",0,1)</f>
        <v>1</v>
      </c>
    </row>
    <row r="128" spans="1:11">
      <c r="A128" s="4">
        <v>35</v>
      </c>
      <c r="B128" s="90">
        <f>IF(Match!B36="","",Match!B36)</f>
        <v>45380</v>
      </c>
      <c r="C128" s="503">
        <f t="shared" si="8"/>
        <v>6</v>
      </c>
      <c r="G128" s="147" t="str">
        <f t="shared" si="9"/>
        <v>Harrogate</v>
      </c>
      <c r="H128" s="148" t="str">
        <f t="shared" si="10"/>
        <v>24/5</v>
      </c>
      <c r="I128" s="176">
        <f t="shared" si="11"/>
        <v>5.8</v>
      </c>
      <c r="J128" s="148">
        <f>INDEX(Picks!T:T,MATCH(G128,Picks!R:R,0))</f>
        <v>0</v>
      </c>
      <c r="K128" s="148">
        <f>IF(INDEX(Match!P:P,MATCH(A128,Match!A:A,0))="OFF",0,1)</f>
        <v>1</v>
      </c>
    </row>
    <row r="129" spans="1:11">
      <c r="A129" s="4">
        <v>36</v>
      </c>
      <c r="B129" s="90">
        <f>IF(Match!B37="","",Match!B37)</f>
        <v>45380</v>
      </c>
      <c r="C129" s="503">
        <f t="shared" si="8"/>
        <v>6</v>
      </c>
      <c r="G129" s="147" t="str">
        <f t="shared" si="9"/>
        <v>Mansfield</v>
      </c>
      <c r="H129" s="148" t="str">
        <f t="shared" si="10"/>
        <v>7/4</v>
      </c>
      <c r="I129" s="176">
        <f t="shared" si="11"/>
        <v>2.75</v>
      </c>
      <c r="J129" s="148">
        <f>INDEX(Picks!T:T,MATCH(G129,Picks!R:R,0))</f>
        <v>0</v>
      </c>
      <c r="K129" s="148">
        <f>IF(INDEX(Match!P:P,MATCH(A129,Match!A:A,0))="OFF",0,1)</f>
        <v>1</v>
      </c>
    </row>
    <row r="130" spans="1:11">
      <c r="A130" s="4">
        <v>37</v>
      </c>
      <c r="B130" s="90">
        <f>IF(Match!B38="","",Match!B38)</f>
        <v>45381</v>
      </c>
      <c r="C130" s="503">
        <f t="shared" si="8"/>
        <v>7</v>
      </c>
      <c r="G130" s="147" t="str">
        <f t="shared" si="9"/>
        <v>Everton</v>
      </c>
      <c r="H130" s="148" t="str">
        <f t="shared" si="10"/>
        <v>11/5</v>
      </c>
      <c r="I130" s="176">
        <f t="shared" si="11"/>
        <v>3.2</v>
      </c>
      <c r="J130" s="148">
        <f>INDEX(Picks!T:T,MATCH(G130,Picks!R:R,0))</f>
        <v>0</v>
      </c>
      <c r="K130" s="148">
        <f>IF(INDEX(Match!P:P,MATCH(A130,Match!A:A,0))="OFF",0,1)</f>
        <v>1</v>
      </c>
    </row>
    <row r="131" spans="1:11">
      <c r="A131" s="4">
        <v>38</v>
      </c>
      <c r="B131" s="90">
        <f>IF(Match!B39="","",Match!B39)</f>
        <v>45381</v>
      </c>
      <c r="C131" s="503">
        <f t="shared" ref="C131:C139" si="12">IF(B131="","",WEEKDAY(B131))</f>
        <v>7</v>
      </c>
      <c r="G131" s="147" t="str">
        <f t="shared" si="9"/>
        <v>Man U</v>
      </c>
      <c r="H131" s="148" t="str">
        <f t="shared" si="10"/>
        <v>6/5</v>
      </c>
      <c r="I131" s="176">
        <f t="shared" si="11"/>
        <v>2.2000000000000002</v>
      </c>
      <c r="J131" s="148">
        <f>INDEX(Picks!T:T,MATCH(G131,Picks!R:R,0))</f>
        <v>0</v>
      </c>
      <c r="K131" s="148">
        <f>IF(INDEX(Match!P:P,MATCH(A131,Match!A:A,0))="OFF",0,1)</f>
        <v>1</v>
      </c>
    </row>
    <row r="132" spans="1:11">
      <c r="A132" s="4">
        <v>39</v>
      </c>
      <c r="B132" s="90">
        <f>IF(Match!B40="","",Match!B40)</f>
        <v>45381</v>
      </c>
      <c r="C132" s="503">
        <f t="shared" si="12"/>
        <v>7</v>
      </c>
      <c r="G132" s="147" t="str">
        <f t="shared" si="9"/>
        <v>Burnley</v>
      </c>
      <c r="H132" s="148" t="str">
        <f t="shared" si="10"/>
        <v>8/1</v>
      </c>
      <c r="I132" s="176">
        <f t="shared" si="11"/>
        <v>9</v>
      </c>
      <c r="J132" s="148">
        <f>INDEX(Picks!T:T,MATCH(G132,Picks!R:R,0))</f>
        <v>0</v>
      </c>
      <c r="K132" s="148">
        <f>IF(INDEX(Match!P:P,MATCH(A132,Match!A:A,0))="OFF",0,1)</f>
        <v>1</v>
      </c>
    </row>
    <row r="133" spans="1:11">
      <c r="A133" s="4">
        <v>40</v>
      </c>
      <c r="B133" s="90">
        <f>IF(Match!B41="","",Match!B41)</f>
        <v>45381</v>
      </c>
      <c r="C133" s="503">
        <f t="shared" si="12"/>
        <v>7</v>
      </c>
      <c r="G133" s="147" t="str">
        <f t="shared" si="9"/>
        <v>Palace</v>
      </c>
      <c r="H133" s="148" t="str">
        <f t="shared" si="10"/>
        <v>11/5</v>
      </c>
      <c r="I133" s="176">
        <f t="shared" si="11"/>
        <v>3.2</v>
      </c>
      <c r="J133" s="148">
        <f>INDEX(Picks!T:T,MATCH(G133,Picks!R:R,0))</f>
        <v>0</v>
      </c>
      <c r="K133" s="148">
        <f>IF(INDEX(Match!P:P,MATCH(A133,Match!A:A,0))="OFF",0,1)</f>
        <v>1</v>
      </c>
    </row>
    <row r="134" spans="1:11">
      <c r="A134" s="4">
        <v>41</v>
      </c>
      <c r="B134" s="90">
        <f>IF(Match!B42="","",Match!B42)</f>
        <v>45381</v>
      </c>
      <c r="C134" s="503">
        <f t="shared" si="12"/>
        <v>7</v>
      </c>
      <c r="G134" s="147" t="str">
        <f t="shared" si="9"/>
        <v>West Ham</v>
      </c>
      <c r="H134" s="148" t="str">
        <f t="shared" si="10"/>
        <v>27/10</v>
      </c>
      <c r="I134" s="176">
        <f t="shared" si="11"/>
        <v>3.7</v>
      </c>
      <c r="J134" s="148">
        <f>INDEX(Picks!T:T,MATCH(G134,Picks!R:R,0))</f>
        <v>0</v>
      </c>
      <c r="K134" s="148">
        <f>IF(INDEX(Match!P:P,MATCH(A134,Match!A:A,0))="OFF",0,1)</f>
        <v>1</v>
      </c>
    </row>
    <row r="135" spans="1:11">
      <c r="A135" s="4">
        <v>42</v>
      </c>
      <c r="B135" s="90">
        <f>IF(Match!B43="","",Match!B43)</f>
        <v>45381</v>
      </c>
      <c r="C135" s="503">
        <f t="shared" si="12"/>
        <v>7</v>
      </c>
      <c r="G135" s="147" t="str">
        <f t="shared" si="9"/>
        <v>Fulham</v>
      </c>
      <c r="H135" s="148" t="str">
        <f t="shared" si="10"/>
        <v>7/10</v>
      </c>
      <c r="I135" s="176">
        <f t="shared" si="11"/>
        <v>1.7</v>
      </c>
      <c r="J135" s="148">
        <f>INDEX(Picks!T:T,MATCH(G135,Picks!R:R,0))</f>
        <v>0</v>
      </c>
      <c r="K135" s="148">
        <f>IF(INDEX(Match!P:P,MATCH(A135,Match!A:A,0))="OFF",0,1)</f>
        <v>1</v>
      </c>
    </row>
    <row r="136" spans="1:11">
      <c r="A136" s="4">
        <v>43</v>
      </c>
      <c r="B136" s="90">
        <f>IF(Match!B44="","",Match!B44)</f>
        <v>45381</v>
      </c>
      <c r="C136" s="503">
        <f t="shared" si="12"/>
        <v>7</v>
      </c>
      <c r="G136" s="147" t="str">
        <f t="shared" si="9"/>
        <v>Luton</v>
      </c>
      <c r="H136" s="148" t="str">
        <f t="shared" si="10"/>
        <v>9/1</v>
      </c>
      <c r="I136" s="176">
        <f t="shared" si="11"/>
        <v>10</v>
      </c>
      <c r="J136" s="148">
        <f>INDEX(Picks!T:T,MATCH(G136,Picks!R:R,0))</f>
        <v>0</v>
      </c>
      <c r="K136" s="148">
        <f>IF(INDEX(Match!P:P,MATCH(A136,Match!A:A,0))="OFF",0,1)</f>
        <v>1</v>
      </c>
    </row>
    <row r="137" spans="1:11">
      <c r="A137" s="4">
        <v>44</v>
      </c>
      <c r="B137" s="90">
        <f>IF(Match!B45="","",Match!B45)</f>
        <v>45381</v>
      </c>
      <c r="C137" s="503">
        <f t="shared" si="12"/>
        <v>7</v>
      </c>
      <c r="G137" s="147" t="str">
        <f t="shared" si="9"/>
        <v>Wolves</v>
      </c>
      <c r="H137" s="148" t="str">
        <f t="shared" si="10"/>
        <v>7/2</v>
      </c>
      <c r="I137" s="176">
        <f t="shared" si="11"/>
        <v>4.5</v>
      </c>
      <c r="J137" s="148">
        <f>INDEX(Picks!T:T,MATCH(G137,Picks!R:R,0))</f>
        <v>0</v>
      </c>
      <c r="K137" s="148">
        <f>IF(INDEX(Match!P:P,MATCH(A137,Match!A:A,0))="OFF",0,1)</f>
        <v>1</v>
      </c>
    </row>
    <row r="138" spans="1:11">
      <c r="A138" s="4">
        <v>45</v>
      </c>
      <c r="B138" s="90">
        <f>IF(Match!B46="","",Match!B46)</f>
        <v>45382</v>
      </c>
      <c r="C138" s="503">
        <f t="shared" si="12"/>
        <v>1</v>
      </c>
      <c r="G138" s="147" t="str">
        <f t="shared" si="9"/>
        <v>Brighton</v>
      </c>
      <c r="H138" s="148" t="str">
        <f t="shared" si="10"/>
        <v>13/2</v>
      </c>
      <c r="I138" s="176">
        <f t="shared" si="11"/>
        <v>7.5</v>
      </c>
      <c r="J138" s="148">
        <f>INDEX(Picks!T:T,MATCH(G138,Picks!R:R,0))</f>
        <v>0</v>
      </c>
      <c r="K138" s="148">
        <f>IF(INDEX(Match!P:P,MATCH(A138,Match!A:A,0))="OFF",0,1)</f>
        <v>1</v>
      </c>
    </row>
    <row r="139" spans="1:11">
      <c r="A139" s="4">
        <v>46</v>
      </c>
      <c r="B139" s="90">
        <f>IF(Match!B47="","",Match!B47)</f>
        <v>45382</v>
      </c>
      <c r="C139" s="503">
        <f t="shared" si="12"/>
        <v>1</v>
      </c>
      <c r="G139" s="147" t="str">
        <f t="shared" si="9"/>
        <v>Arsenal</v>
      </c>
      <c r="H139" s="148" t="str">
        <f t="shared" si="10"/>
        <v>14/5</v>
      </c>
      <c r="I139" s="176">
        <f t="shared" si="11"/>
        <v>3.8</v>
      </c>
      <c r="J139" s="148">
        <f>INDEX(Picks!T:T,MATCH(G139,Picks!R:R,0))</f>
        <v>0</v>
      </c>
      <c r="K139" s="148">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activeCell="C20" sqref="C20"/>
    </sheetView>
  </sheetViews>
  <sheetFormatPr defaultRowHeight="12.75"/>
  <cols>
    <col min="1" max="1" width="18.73046875" customWidth="1"/>
    <col min="4" max="4" width="11.59765625" customWidth="1"/>
    <col min="5" max="5" width="11.86328125" customWidth="1"/>
    <col min="9" max="9" width="21.86328125" customWidth="1"/>
    <col min="10" max="11" width="13.73046875" style="45" customWidth="1"/>
    <col min="12" max="12" width="11.73046875" customWidth="1"/>
  </cols>
  <sheetData>
    <row r="1" spans="1:12" ht="33" customHeight="1">
      <c r="A1" s="368"/>
      <c r="B1" s="374" t="s">
        <v>124</v>
      </c>
      <c r="C1" s="374" t="s">
        <v>346</v>
      </c>
      <c r="D1" s="374" t="s">
        <v>352</v>
      </c>
      <c r="E1" s="374" t="s">
        <v>424</v>
      </c>
      <c r="F1" s="374" t="s">
        <v>127</v>
      </c>
      <c r="G1" s="374" t="s">
        <v>347</v>
      </c>
      <c r="I1" s="368"/>
      <c r="J1" s="374" t="s">
        <v>352</v>
      </c>
      <c r="K1" s="374" t="s">
        <v>424</v>
      </c>
      <c r="L1" s="374" t="s">
        <v>353</v>
      </c>
    </row>
    <row r="2" spans="1:12" ht="18" customHeight="1">
      <c r="A2" s="369" t="s">
        <v>285</v>
      </c>
      <c r="B2" s="370" t="e">
        <f>IF(A2="","",INDEX(Table!I:I,MATCH(A2,Table!$F:$F,0)))</f>
        <v>#N/A</v>
      </c>
      <c r="C2" s="371" t="e">
        <f>IF(A2="","",INDEX(Table!J:J,MATCH(A2,Table!$F:$F,0)))</f>
        <v>#N/A</v>
      </c>
      <c r="D2" s="378" t="str">
        <f>IF(A2="","",IF(ISERROR(INDEX(Results!AI:AI,MATCH(A2,Results!$V:$V,0))),"TBC",INDEX(Results!AI:AI,MATCH(A2,Results!$V:$V,0))))</f>
        <v>TBC</v>
      </c>
      <c r="E2" s="370" t="e">
        <f>IF(A2="","",INDEX(Table!K:K,MATCH(A2,Table!$F:$F,0)))</f>
        <v>#N/A</v>
      </c>
      <c r="F2" s="371" t="e">
        <f>IF(A2="","",INDEX(Table!L:L,MATCH(A2,Table!$F:$F,0)))</f>
        <v>#N/A</v>
      </c>
      <c r="G2" s="371" t="e">
        <f>IF(A2="","",INDEX(Picks!AG:AG,MATCH(A2,Picks!$AD:$AD,0)))</f>
        <v>#N/A</v>
      </c>
      <c r="I2" s="369" t="s">
        <v>298</v>
      </c>
      <c r="J2" s="378">
        <f>IF(I2="","",IF(ISERROR(INDEX(Results!AI:AI,MATCH(I2,Results!$V:$V,0))),"TBC",INDEX(Results!AI:AI,MATCH(I2,Results!$V:$V,0))))</f>
        <v>17.2225</v>
      </c>
      <c r="K2" s="378">
        <f>IF(I2="","",IF(ISERROR(INDEX(Results!T:T,MATCH(I2,Results!$V:$V,0))),"TBC",INDEX(Results!T:T,MATCH(I2,Results!$V:$V,0))))</f>
        <v>0.54999999999999982</v>
      </c>
      <c r="L2" s="370">
        <f>IF(I2="","",INDEX(Table!I:I,MATCH(I2,Table!$F:$F,0)))</f>
        <v>-16.614753246753246</v>
      </c>
    </row>
    <row r="3" spans="1:12" ht="18" customHeight="1">
      <c r="A3" s="369" t="s">
        <v>301</v>
      </c>
      <c r="B3" s="370">
        <f>IF(A3="","",INDEX(Table!I:I,MATCH(A3,Table!$F:$F,0)))</f>
        <v>-41.493300865800869</v>
      </c>
      <c r="C3" s="371">
        <f>IF(A3="","",INDEX(Table!J:J,MATCH(A3,Table!$F:$F,0)))</f>
        <v>21</v>
      </c>
      <c r="D3" s="378">
        <f>IF(A3="","",IF(ISERROR(INDEX(Results!AI:AI,MATCH(A3,Results!$V:$V,0))),"TBC",INDEX(Results!AI:AI,MATCH(A3,Results!$V:$V,0))))</f>
        <v>10.932444444444442</v>
      </c>
      <c r="E3" s="370">
        <f>IF(A3="","",INDEX(Table!K:K,MATCH(A3,Table!$F:$F,0)))</f>
        <v>-5.4666666666666668</v>
      </c>
      <c r="F3" s="371">
        <f>IF(A3="","",INDEX(Table!L:L,MATCH(A3,Table!$F:$F,0)))</f>
        <v>1</v>
      </c>
      <c r="G3" s="371">
        <f>IF(A3="","",INDEX(Picks!AG:AG,MATCH(A3,Picks!$AD:$AD,0)))</f>
        <v>33</v>
      </c>
      <c r="I3" s="369" t="s">
        <v>301</v>
      </c>
      <c r="J3" s="378">
        <f>IF(I3="","",IF(ISERROR(INDEX(Results!AI:AI,MATCH(I3,Results!$V:$V,0))),"TBC",INDEX(Results!AI:AI,MATCH(I3,Results!$V:$V,0))))</f>
        <v>10.932444444444442</v>
      </c>
      <c r="K3" s="378">
        <f>IF(I3="","",IF(ISERROR(INDEX(Results!T:T,MATCH(I3,Results!$V:$V,0))),"TBC",INDEX(Results!T:T,MATCH(I3,Results!$V:$V,0))))</f>
        <v>-5.4666666666666668</v>
      </c>
      <c r="L3" s="370">
        <f>IF(I3="","",INDEX(Table!I:I,MATCH(I3,Table!$F:$F,0)))</f>
        <v>-41.493300865800869</v>
      </c>
    </row>
    <row r="4" spans="1:12" ht="18" customHeight="1">
      <c r="A4" s="369" t="s">
        <v>275</v>
      </c>
      <c r="B4" s="370" t="e">
        <f>IF(A4="","",INDEX(Table!I:I,MATCH(A4,Table!$F:$F,0)))</f>
        <v>#N/A</v>
      </c>
      <c r="C4" s="371" t="e">
        <f>IF(A4="","",INDEX(Table!J:J,MATCH(A4,Table!$F:$F,0)))</f>
        <v>#N/A</v>
      </c>
      <c r="D4" s="378" t="str">
        <f>IF(A4="","",IF(ISERROR(INDEX(Results!AI:AI,MATCH(A4,Results!$V:$V,0))),"TBC",INDEX(Results!AI:AI,MATCH(A4,Results!$V:$V,0))))</f>
        <v>TBC</v>
      </c>
      <c r="E4" s="370" t="e">
        <f>IF(A4="","",INDEX(Table!K:K,MATCH(A4,Table!$F:$F,0)))</f>
        <v>#N/A</v>
      </c>
      <c r="F4" s="371" t="e">
        <f>IF(A4="","",INDEX(Table!L:L,MATCH(A4,Table!$F:$F,0)))</f>
        <v>#N/A</v>
      </c>
      <c r="G4" s="371" t="e">
        <f>IF(A4="","",INDEX(Picks!AG:AG,MATCH(A4,Picks!$AD:$AD,0)))</f>
        <v>#N/A</v>
      </c>
      <c r="I4" s="369" t="s">
        <v>284</v>
      </c>
      <c r="J4" s="378" t="str">
        <f>IF(I4="","",IF(ISERROR(INDEX(Results!AI:AI,MATCH(I4,Results!$V:$V,0))),"TBC",INDEX(Results!AI:AI,MATCH(I4,Results!$V:$V,0))))</f>
        <v>TBC</v>
      </c>
      <c r="K4" s="378" t="str">
        <f>IF(I4="","",IF(ISERROR(INDEX(Results!T:T,MATCH(I4,Results!$V:$V,0))),"TBC",INDEX(Results!T:T,MATCH(I4,Results!$V:$V,0))))</f>
        <v>TBC</v>
      </c>
      <c r="L4" s="370" t="e">
        <f>IF(I4="","",INDEX(Table!I:I,MATCH(I4,Table!$F:$F,0)))</f>
        <v>#N/A</v>
      </c>
    </row>
    <row r="5" spans="1:12" ht="18" customHeight="1">
      <c r="A5" s="369" t="s">
        <v>298</v>
      </c>
      <c r="B5" s="370">
        <f>IF(A5="","",INDEX(Table!I:I,MATCH(A5,Table!$F:$F,0)))</f>
        <v>-16.614753246753246</v>
      </c>
      <c r="C5" s="371">
        <f>IF(A5="","",INDEX(Table!J:J,MATCH(A5,Table!$F:$F,0)))</f>
        <v>23</v>
      </c>
      <c r="D5" s="378">
        <f>IF(A5="","",IF(ISERROR(INDEX(Results!AI:AI,MATCH(A5,Results!$V:$V,0))),"TBC",INDEX(Results!AI:AI,MATCH(A5,Results!$V:$V,0))))</f>
        <v>17.2225</v>
      </c>
      <c r="E5" s="370">
        <f>IF(A5="","",INDEX(Table!K:K,MATCH(A5,Table!$F:$F,0)))</f>
        <v>0.54999999999999982</v>
      </c>
      <c r="F5" s="371">
        <f>IF(A5="","",INDEX(Table!L:L,MATCH(A5,Table!$F:$F,0)))</f>
        <v>2</v>
      </c>
      <c r="G5" s="371">
        <f>IF(A5="","",INDEX(Picks!AG:AG,MATCH(A5,Picks!$AD:$AD,0)))</f>
        <v>12</v>
      </c>
      <c r="I5" s="369" t="s">
        <v>275</v>
      </c>
      <c r="J5" s="378" t="str">
        <f>IF(I5="","",IF(ISERROR(INDEX(Results!AI:AI,MATCH(I5,Results!$V:$V,0))),"TBC",INDEX(Results!AI:AI,MATCH(I5,Results!$V:$V,0))))</f>
        <v>TBC</v>
      </c>
      <c r="K5" s="378" t="str">
        <f>IF(I5="","",IF(ISERROR(INDEX(Results!T:T,MATCH(I5,Results!$V:$V,0))),"TBC",INDEX(Results!T:T,MATCH(I5,Results!$V:$V,0))))</f>
        <v>TBC</v>
      </c>
      <c r="L5" s="370" t="e">
        <f>IF(I5="","",INDEX(Table!I:I,MATCH(I5,Table!$F:$F,0)))</f>
        <v>#N/A</v>
      </c>
    </row>
    <row r="6" spans="1:12" ht="18" customHeight="1">
      <c r="A6" s="369" t="s">
        <v>284</v>
      </c>
      <c r="B6" s="370" t="e">
        <f>IF(A6="","",INDEX(Table!I:I,MATCH(A6,Table!$F:$F,0)))</f>
        <v>#N/A</v>
      </c>
      <c r="C6" s="371" t="e">
        <f>IF(A6="","",INDEX(Table!J:J,MATCH(A6,Table!$F:$F,0)))</f>
        <v>#N/A</v>
      </c>
      <c r="D6" s="378" t="str">
        <f>IF(A6="","",IF(ISERROR(INDEX(Results!AI:AI,MATCH(A6,Results!$V:$V,0))),"TBC",INDEX(Results!AI:AI,MATCH(A6,Results!$V:$V,0))))</f>
        <v>TBC</v>
      </c>
      <c r="E6" s="370" t="e">
        <f>IF(A6="","",INDEX(Table!K:K,MATCH(A6,Table!$F:$F,0)))</f>
        <v>#N/A</v>
      </c>
      <c r="F6" s="371" t="e">
        <f>IF(A6="","",INDEX(Table!L:L,MATCH(A6,Table!$F:$F,0)))</f>
        <v>#N/A</v>
      </c>
      <c r="G6" s="371" t="e">
        <f>IF(A6="","",INDEX(Picks!AG:AG,MATCH(A6,Picks!$AD:$AD,0)))</f>
        <v>#N/A</v>
      </c>
      <c r="I6" s="369" t="s">
        <v>285</v>
      </c>
      <c r="J6" s="378" t="str">
        <f>IF(I6="","",IF(ISERROR(INDEX(Results!AI:AI,MATCH(I6,Results!$V:$V,0))),"TBC",INDEX(Results!AI:AI,MATCH(I6,Results!$V:$V,0))))</f>
        <v>TBC</v>
      </c>
      <c r="K6" s="378" t="str">
        <f>IF(I6="","",IF(ISERROR(INDEX(Results!T:T,MATCH(I6,Results!$V:$V,0))),"TBC",INDEX(Results!T:T,MATCH(I6,Results!$V:$V,0))))</f>
        <v>TBC</v>
      </c>
      <c r="L6" s="370" t="e">
        <f>IF(I6="","",INDEX(Table!I:I,MATCH(I6,Table!$F:$F,0)))</f>
        <v>#N/A</v>
      </c>
    </row>
    <row r="7" spans="1:12" ht="18" customHeight="1">
      <c r="A7" s="214"/>
      <c r="B7" s="193"/>
      <c r="C7" s="283" t="str">
        <f>IF(A7="","",INDEX(Table!J:J,MATCH(A7,Table!$F:$F,0)))</f>
        <v/>
      </c>
      <c r="D7" s="283"/>
    </row>
    <row r="8" spans="1:12" ht="18" customHeight="1">
      <c r="A8" s="214"/>
      <c r="B8" s="193"/>
      <c r="C8" s="283" t="str">
        <f>IF(A8="","",INDEX(Table!J:J,MATCH(A8,Table!$F:$F,0)))</f>
        <v/>
      </c>
      <c r="D8" s="283"/>
    </row>
    <row r="9" spans="1:12" ht="18" customHeight="1">
      <c r="A9" s="214"/>
      <c r="B9" s="193"/>
      <c r="C9" s="283" t="str">
        <f>IF(A9="","",INDEX(Table!J:J,MATCH(A9,Table!$F:$F,0)))</f>
        <v/>
      </c>
      <c r="D9" s="283"/>
    </row>
    <row r="10" spans="1:12" ht="18" customHeight="1">
      <c r="A10" s="214"/>
      <c r="B10" s="193"/>
      <c r="C10" s="283" t="str">
        <f>IF(A10="","",INDEX(Table!J:J,MATCH(A10,Table!$F:$F,0)))</f>
        <v/>
      </c>
      <c r="D10" s="283"/>
    </row>
    <row r="11" spans="1:12" ht="18" customHeight="1">
      <c r="A11" s="214"/>
      <c r="B11" s="193"/>
      <c r="C11" s="283" t="str">
        <f>IF(A11="","",INDEX(Table!J:J,MATCH(A11,Table!$F:$F,0)))</f>
        <v/>
      </c>
      <c r="D11" s="283"/>
    </row>
    <row r="12" spans="1:12" ht="18" customHeight="1">
      <c r="A12" s="214"/>
      <c r="B12" s="193"/>
      <c r="C12" s="283" t="str">
        <f>IF(A12="","",INDEX(Table!J:J,MATCH(A12,Table!$F:$F,0)))</f>
        <v/>
      </c>
      <c r="D12" s="283"/>
    </row>
    <row r="13" spans="1:12" ht="18" customHeight="1">
      <c r="A13" s="214"/>
      <c r="B13" s="193"/>
      <c r="C13" s="283" t="str">
        <f>IF(A13="","",INDEX(Table!J:J,MATCH(A13,Table!$F:$F,0)))</f>
        <v/>
      </c>
      <c r="D13" s="283"/>
    </row>
    <row r="14" spans="1:12" ht="18" customHeight="1">
      <c r="A14" s="214"/>
      <c r="B14" s="193"/>
      <c r="C14" s="283" t="str">
        <f>IF(A14="","",INDEX(Table!J:J,MATCH(A14,Table!$F:$F,0)))</f>
        <v/>
      </c>
      <c r="D14" s="283"/>
    </row>
    <row r="15" spans="1:12" ht="18" customHeight="1">
      <c r="A15" s="214"/>
      <c r="B15" s="193"/>
      <c r="C15" s="283" t="str">
        <f>IF(A15="","",INDEX(Table!J:J,MATCH(A15,Table!$F:$F,0)))</f>
        <v/>
      </c>
      <c r="D15" s="283"/>
    </row>
    <row r="16" spans="1:12" ht="18" customHeight="1">
      <c r="A16" s="214"/>
      <c r="B16" s="193"/>
      <c r="C16" s="283" t="str">
        <f>IF(A16="","",INDEX(Table!J:J,MATCH(A16,Table!$F:$F,0)))</f>
        <v/>
      </c>
      <c r="D16" s="283"/>
    </row>
    <row r="17" spans="1:4" ht="18" customHeight="1">
      <c r="A17" s="214"/>
      <c r="B17" s="193"/>
      <c r="C17" s="283" t="str">
        <f>IF(A17="","",INDEX(Table!J:J,MATCH(A17,Table!$F:$F,0)))</f>
        <v/>
      </c>
      <c r="D17" s="283"/>
    </row>
    <row r="18" spans="1:4" ht="18" customHeight="1">
      <c r="A18" s="214"/>
      <c r="B18" s="193"/>
      <c r="C18" s="283" t="str">
        <f>IF(A18="","",INDEX(Table!J:J,MATCH(A18,Table!$F:$F,0)))</f>
        <v/>
      </c>
      <c r="D18" s="283"/>
    </row>
    <row r="19" spans="1:4" ht="18" customHeight="1">
      <c r="A19" s="214"/>
      <c r="B19" s="193"/>
      <c r="C19" s="283" t="str">
        <f>IF(A19="","",INDEX(Table!J:J,MATCH(A19,Table!$F:$F,0)))</f>
        <v/>
      </c>
      <c r="D19" s="283"/>
    </row>
    <row r="20" spans="1:4" ht="18" customHeight="1">
      <c r="A20" s="214"/>
      <c r="B20" s="193"/>
      <c r="C20" s="283" t="str">
        <f>IF(A20="","",INDEX(Table!J:J,MATCH(A20,Table!$F:$F,0)))</f>
        <v/>
      </c>
      <c r="D20" s="283"/>
    </row>
    <row r="21" spans="1:4" ht="18" customHeight="1">
      <c r="A21" s="214"/>
      <c r="B21" s="193"/>
      <c r="C21" s="283" t="str">
        <f>IF(A21="","",INDEX(Table!J:J,MATCH(A21,Table!$F:$F,0)))</f>
        <v/>
      </c>
      <c r="D21" s="283"/>
    </row>
    <row r="22" spans="1:4" ht="18" customHeight="1">
      <c r="A22" s="214"/>
      <c r="B22" s="193"/>
      <c r="C22" s="283" t="str">
        <f>IF(A22="","",INDEX(Table!J:J,MATCH(A22,Table!$F:$F,0)))</f>
        <v/>
      </c>
      <c r="D22" s="283"/>
    </row>
    <row r="23" spans="1:4" ht="18" customHeight="1">
      <c r="A23" s="214"/>
      <c r="B23" s="193"/>
      <c r="C23" s="283" t="str">
        <f>IF(A23="","",INDEX(Table!J:J,MATCH(A23,Table!$F:$F,0)))</f>
        <v/>
      </c>
      <c r="D23" s="283"/>
    </row>
    <row r="24" spans="1:4" ht="18" customHeight="1">
      <c r="A24" s="214"/>
      <c r="B24" s="193"/>
      <c r="C24" s="283" t="str">
        <f>IF(A24="","",INDEX(Table!J:J,MATCH(A24,Table!$F:$F,0)))</f>
        <v/>
      </c>
      <c r="D24" s="283"/>
    </row>
    <row r="25" spans="1:4" ht="18" customHeight="1">
      <c r="A25" s="214"/>
      <c r="B25" s="193"/>
      <c r="C25" s="283" t="str">
        <f>IF(A25="","",INDEX(Table!J:J,MATCH(A25,Table!$F:$F,0)))</f>
        <v/>
      </c>
      <c r="D25" s="283"/>
    </row>
    <row r="26" spans="1:4" ht="18" customHeight="1">
      <c r="A26" s="214"/>
      <c r="B26" s="193"/>
      <c r="C26" s="283" t="str">
        <f>IF(A26="","",INDEX(Table!J:J,MATCH(A26,Table!$F:$F,0)))</f>
        <v/>
      </c>
      <c r="D26" s="283"/>
    </row>
    <row r="27" spans="1:4" ht="18" customHeight="1">
      <c r="A27" s="214"/>
      <c r="B27" s="193"/>
      <c r="C27" s="283" t="str">
        <f>IF(A27="","",INDEX(Table!J:J,MATCH(A27,Table!$F:$F,0)))</f>
        <v/>
      </c>
      <c r="D27" s="283"/>
    </row>
    <row r="28" spans="1:4" ht="18" customHeight="1">
      <c r="A28" s="214"/>
      <c r="B28" s="193"/>
      <c r="C28" s="283" t="str">
        <f>IF(A28="","",INDEX(Table!J:J,MATCH(A28,Table!$F:$F,0)))</f>
        <v/>
      </c>
      <c r="D28" s="283"/>
    </row>
    <row r="29" spans="1:4" ht="18" customHeight="1">
      <c r="A29" s="214"/>
      <c r="B29" s="193"/>
      <c r="C29" s="283" t="str">
        <f>IF(A29="","",INDEX(Table!J:J,MATCH(A29,Table!$F:$F,0)))</f>
        <v/>
      </c>
      <c r="D29" s="283"/>
    </row>
    <row r="30" spans="1:4" ht="18" customHeight="1">
      <c r="A30" s="214"/>
      <c r="B30" s="193"/>
      <c r="C30" s="283" t="str">
        <f>IF(A30="","",INDEX(Table!J:J,MATCH(A30,Table!$F:$F,0)))</f>
        <v/>
      </c>
      <c r="D30" s="283"/>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7"/>
  <sheetViews>
    <sheetView workbookViewId="0">
      <selection activeCell="D9" sqref="D9"/>
    </sheetView>
  </sheetViews>
  <sheetFormatPr defaultRowHeight="12.75"/>
  <cols>
    <col min="1" max="1" width="44.9296875" customWidth="1"/>
    <col min="2" max="2" width="9.86328125" bestFit="1" customWidth="1"/>
  </cols>
  <sheetData>
    <row r="1" spans="1:2" ht="17.649999999999999">
      <c r="A1" s="165" t="s">
        <v>183</v>
      </c>
      <c r="B1" s="162">
        <v>50</v>
      </c>
    </row>
    <row r="2" spans="1:2" ht="17.25">
      <c r="A2" s="92" t="s">
        <v>148</v>
      </c>
      <c r="B2" s="164">
        <v>20</v>
      </c>
    </row>
    <row r="3" spans="1:2" ht="17.649999999999999">
      <c r="A3" s="165" t="s">
        <v>184</v>
      </c>
      <c r="B3" s="163">
        <f>B1*B2</f>
        <v>1000</v>
      </c>
    </row>
    <row r="4" spans="1:2">
      <c r="A4" s="92"/>
      <c r="B4" s="93"/>
    </row>
    <row r="5" spans="1:2">
      <c r="A5" s="92" t="s">
        <v>149</v>
      </c>
      <c r="B5" s="93">
        <v>20</v>
      </c>
    </row>
    <row r="6" spans="1:2">
      <c r="A6" s="92" t="s">
        <v>150</v>
      </c>
      <c r="B6" s="93">
        <v>1</v>
      </c>
    </row>
    <row r="7" spans="1:2">
      <c r="A7" s="92" t="s">
        <v>151</v>
      </c>
      <c r="B7" s="93">
        <v>3</v>
      </c>
    </row>
    <row r="8" spans="1:2" ht="13.15">
      <c r="A8" s="100" t="s">
        <v>152</v>
      </c>
      <c r="B8" s="101">
        <f>(B7*5*B5)+(B6*10*B5)</f>
        <v>500</v>
      </c>
    </row>
    <row r="9" spans="1:2">
      <c r="A9" s="92"/>
      <c r="B9" s="93"/>
    </row>
    <row r="10" spans="1:2">
      <c r="A10" s="92" t="s">
        <v>153</v>
      </c>
      <c r="B10" s="95">
        <v>25</v>
      </c>
    </row>
    <row r="11" spans="1:2">
      <c r="A11" s="92" t="s">
        <v>154</v>
      </c>
      <c r="B11" s="95">
        <v>15</v>
      </c>
    </row>
    <row r="12" spans="1:2">
      <c r="A12" s="99" t="s">
        <v>493</v>
      </c>
      <c r="B12" s="95">
        <v>10</v>
      </c>
    </row>
    <row r="13" spans="1:2" ht="13.15">
      <c r="A13" s="100" t="s">
        <v>155</v>
      </c>
      <c r="B13" s="102">
        <f>SUM(B10:B12)</f>
        <v>50</v>
      </c>
    </row>
    <row r="14" spans="1:2">
      <c r="A14" s="92"/>
      <c r="B14" s="93"/>
    </row>
    <row r="15" spans="1:2">
      <c r="A15" s="99" t="s">
        <v>494</v>
      </c>
      <c r="B15" s="356">
        <f>Prizes!I2</f>
        <v>175</v>
      </c>
    </row>
    <row r="16" spans="1:2">
      <c r="A16" s="99" t="s">
        <v>496</v>
      </c>
      <c r="B16" s="356">
        <f>Prizes!I3</f>
        <v>122.49999999999999</v>
      </c>
    </row>
    <row r="17" spans="1:2">
      <c r="A17" s="99" t="s">
        <v>497</v>
      </c>
      <c r="B17" s="356">
        <f>Prizes!I4</f>
        <v>52.5</v>
      </c>
    </row>
    <row r="18" spans="1:2">
      <c r="A18" s="99" t="s">
        <v>498</v>
      </c>
      <c r="B18" s="356">
        <f>Prizes!I5</f>
        <v>0</v>
      </c>
    </row>
    <row r="19" spans="1:2">
      <c r="A19" s="99"/>
      <c r="B19" s="94"/>
    </row>
    <row r="20" spans="1:2" ht="13.15">
      <c r="A20" s="100" t="s">
        <v>495</v>
      </c>
      <c r="B20" s="101">
        <f>SUM(B15:B19)</f>
        <v>350</v>
      </c>
    </row>
    <row r="21" spans="1:2" ht="13.15">
      <c r="A21" s="100"/>
      <c r="B21" s="101"/>
    </row>
    <row r="22" spans="1:2" ht="13.15">
      <c r="A22" s="100" t="s">
        <v>593</v>
      </c>
      <c r="B22" s="671">
        <v>5</v>
      </c>
    </row>
    <row r="23" spans="1:2">
      <c r="A23" s="177" t="s">
        <v>223</v>
      </c>
      <c r="B23" s="178">
        <f>nonentrants*20</f>
        <v>100</v>
      </c>
    </row>
    <row r="24" spans="1:2" ht="13.15">
      <c r="A24" s="100"/>
      <c r="B24" s="101"/>
    </row>
    <row r="25" spans="1:2" ht="13.15">
      <c r="A25" s="100" t="s">
        <v>499</v>
      </c>
      <c r="B25" s="101">
        <f>B20-B23</f>
        <v>250</v>
      </c>
    </row>
    <row r="26" spans="1:2">
      <c r="A26" s="92"/>
      <c r="B26" s="93"/>
    </row>
    <row r="27" spans="1:2">
      <c r="A27" s="96" t="s">
        <v>156</v>
      </c>
      <c r="B27" s="97">
        <f>B3-B8-B13-B20-B23</f>
        <v>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Z54"/>
  <sheetViews>
    <sheetView tabSelected="1" zoomScale="90" zoomScaleNormal="90" workbookViewId="0">
      <pane ySplit="1" topLeftCell="A2" activePane="bottomLeft" state="frozen"/>
      <selection pane="bottomLeft" activeCell="S20" sqref="S20"/>
    </sheetView>
  </sheetViews>
  <sheetFormatPr defaultRowHeight="12.75"/>
  <cols>
    <col min="1" max="1" width="17.265625" customWidth="1"/>
    <col min="2" max="2" width="8" hidden="1" customWidth="1"/>
    <col min="3" max="3" width="11.1328125" customWidth="1"/>
    <col min="4" max="4" width="5" customWidth="1"/>
    <col min="5" max="5" width="5.53125" style="8" hidden="1" customWidth="1"/>
    <col min="6" max="6" width="26.1328125" style="4" customWidth="1"/>
    <col min="7" max="7" width="5.33203125" style="20" hidden="1" customWidth="1"/>
    <col min="8" max="8" width="6" style="8" hidden="1" customWidth="1"/>
    <col min="9" max="9" width="8.59765625" style="193" customWidth="1"/>
    <col min="10" max="10" width="8" style="283" customWidth="1"/>
    <col min="11" max="11" width="8.86328125" style="193" customWidth="1"/>
    <col min="12" max="12" width="9.1328125" style="283" customWidth="1"/>
    <col min="13" max="13" width="10.73046875" customWidth="1"/>
    <col min="14" max="14" width="10.73046875" style="19" customWidth="1"/>
    <col min="15" max="16" width="10.73046875" customWidth="1"/>
    <col min="17" max="17" width="8.53125" style="1" customWidth="1"/>
    <col min="18" max="18" width="4.59765625" customWidth="1"/>
    <col min="19" max="19" width="41.73046875" customWidth="1"/>
  </cols>
  <sheetData>
    <row r="1" spans="1:26" ht="42.75" customHeight="1" thickBot="1">
      <c r="A1" s="553" t="str">
        <f>CONCATENATE(CurrentSeason,"/Week ",CurrentWeek)</f>
        <v>PL43/Week 15</v>
      </c>
      <c r="B1" s="56" t="s">
        <v>230</v>
      </c>
      <c r="C1" s="259" t="s">
        <v>439</v>
      </c>
      <c r="D1" s="56" t="s">
        <v>217</v>
      </c>
      <c r="E1" s="56" t="s">
        <v>222</v>
      </c>
      <c r="F1" s="231" t="s">
        <v>16</v>
      </c>
      <c r="G1" s="572" t="s">
        <v>258</v>
      </c>
      <c r="H1" s="56" t="s">
        <v>483</v>
      </c>
      <c r="I1" s="277" t="s">
        <v>124</v>
      </c>
      <c r="J1" s="279" t="s">
        <v>125</v>
      </c>
      <c r="K1" s="278" t="s">
        <v>126</v>
      </c>
      <c r="L1" s="284" t="s">
        <v>127</v>
      </c>
      <c r="M1" s="260" t="s">
        <v>309</v>
      </c>
      <c r="N1" s="260" t="s">
        <v>225</v>
      </c>
      <c r="O1" s="260" t="s">
        <v>167</v>
      </c>
      <c r="P1" s="626" t="s">
        <v>231</v>
      </c>
      <c r="Q1" s="678" t="s">
        <v>665</v>
      </c>
      <c r="R1" s="678">
        <f>COUNTIF(Q:Q,"N")</f>
        <v>5</v>
      </c>
      <c r="S1" s="76"/>
      <c r="T1" s="76"/>
      <c r="U1" s="76"/>
      <c r="V1" s="76"/>
      <c r="W1" s="76"/>
      <c r="X1" s="76"/>
      <c r="Y1" s="76"/>
    </row>
    <row r="2" spans="1:26" ht="14" customHeight="1">
      <c r="A2" s="679" t="s">
        <v>218</v>
      </c>
      <c r="B2" s="248" t="str">
        <f t="shared" ref="B2:B33" si="0">CONCATENATE(E2,D2)</f>
        <v>A1</v>
      </c>
      <c r="C2" s="625" t="s">
        <v>514</v>
      </c>
      <c r="D2" s="248">
        <v>1</v>
      </c>
      <c r="E2" s="567" t="s">
        <v>226</v>
      </c>
      <c r="F2" s="292" t="s">
        <v>302</v>
      </c>
      <c r="G2" s="571"/>
      <c r="H2" s="567" t="s">
        <v>226</v>
      </c>
      <c r="I2" s="293">
        <f>INDEX(Weekly!F:F,MATCH($F2,Weekly!$E:$E,0))</f>
        <v>86.336166666666685</v>
      </c>
      <c r="J2" s="294">
        <f>INDEX(Weekly!G:G,MATCH($F2,Weekly!$E:$E,0))</f>
        <v>13</v>
      </c>
      <c r="K2" s="295">
        <f>INDEX(Weekly!H:H,MATCH($F2,Weekly!$E:$E,0))</f>
        <v>-7</v>
      </c>
      <c r="L2" s="296">
        <f>INDEX(Weekly!I:I,MATCH($F2,Weekly!$E:$E,0))</f>
        <v>0</v>
      </c>
      <c r="M2" s="297">
        <f>INDEX(Prizes!F:F,MATCH($B2,Prizes!A:A,0))</f>
        <v>61.25</v>
      </c>
      <c r="N2" s="263">
        <f>INDEX(Weekly!J:J,MATCH($F2,Weekly!$E:$E,0))</f>
        <v>35</v>
      </c>
      <c r="O2" s="297">
        <f>INDEX(Weekly!K:K,MATCH($F2,Weekly!$E:$E,0))</f>
        <v>0</v>
      </c>
      <c r="P2" s="627">
        <f>INDEX(Weekly!M:M,MATCH($F2,Weekly!$E:$E,0))</f>
        <v>96.25</v>
      </c>
      <c r="Q2" s="80"/>
      <c r="R2" s="76"/>
      <c r="S2" s="76"/>
      <c r="T2" s="76"/>
      <c r="U2" s="76"/>
      <c r="V2" s="76"/>
      <c r="W2" s="76"/>
      <c r="X2" s="76"/>
      <c r="Y2" s="76"/>
      <c r="Z2" s="76"/>
    </row>
    <row r="3" spans="1:26" ht="14" customHeight="1">
      <c r="A3" s="680"/>
      <c r="B3" s="1" t="str">
        <f t="shared" si="0"/>
        <v>A2</v>
      </c>
      <c r="C3" s="266" t="s">
        <v>514</v>
      </c>
      <c r="D3" s="1">
        <v>2</v>
      </c>
      <c r="E3" s="10" t="s">
        <v>226</v>
      </c>
      <c r="F3" s="4" t="s">
        <v>362</v>
      </c>
      <c r="G3" s="572"/>
      <c r="H3" s="10" t="s">
        <v>226</v>
      </c>
      <c r="I3" s="256">
        <f>INDEX(Weekly!F:F,MATCH($F3,Weekly!$E:$E,0))</f>
        <v>73.850000000000009</v>
      </c>
      <c r="J3" s="280">
        <f>INDEX(Weekly!G:G,MATCH($F3,Weekly!$E:$E,0))</f>
        <v>19</v>
      </c>
      <c r="K3" s="127">
        <f>INDEX(Weekly!H:H,MATCH($F3,Weekly!$E:$E,0))</f>
        <v>62.2</v>
      </c>
      <c r="L3" s="285">
        <f>INDEX(Weekly!I:I,MATCH($F3,Weekly!$E:$E,0))</f>
        <v>3</v>
      </c>
      <c r="M3" s="261">
        <f>INDEX(Prizes!F:F,MATCH($B3,Prizes!A:A,0))</f>
        <v>43.75</v>
      </c>
      <c r="N3" s="459">
        <f>INDEX(Weekly!J:J,MATCH($F3,Weekly!$E:$E,0))</f>
        <v>30</v>
      </c>
      <c r="O3" s="261">
        <f>INDEX(Weekly!K:K,MATCH($F3,Weekly!$E:$E,0))</f>
        <v>0</v>
      </c>
      <c r="P3" s="628">
        <f>INDEX(Weekly!M:M,MATCH($F3,Weekly!$E:$E,0))</f>
        <v>73.75</v>
      </c>
      <c r="Q3" s="80"/>
      <c r="R3" s="76"/>
      <c r="S3" s="76"/>
      <c r="T3" s="76"/>
      <c r="U3" s="76"/>
      <c r="V3" s="76"/>
      <c r="W3" s="76"/>
      <c r="X3" s="76"/>
      <c r="Y3" s="76"/>
      <c r="Z3" s="76"/>
    </row>
    <row r="4" spans="1:26" ht="14" customHeight="1">
      <c r="A4" s="680"/>
      <c r="B4" s="1" t="str">
        <f t="shared" si="0"/>
        <v>A3</v>
      </c>
      <c r="C4" s="266" t="s">
        <v>514</v>
      </c>
      <c r="D4" s="1">
        <v>3</v>
      </c>
      <c r="E4" s="10" t="s">
        <v>226</v>
      </c>
      <c r="F4" s="4" t="s">
        <v>300</v>
      </c>
      <c r="G4" s="572"/>
      <c r="H4" s="10" t="s">
        <v>226</v>
      </c>
      <c r="I4" s="256">
        <f>INDEX(Weekly!F:F,MATCH($F4,Weekly!$E:$E,0))</f>
        <v>40.49526223776224</v>
      </c>
      <c r="J4" s="280">
        <f>INDEX(Weekly!G:G,MATCH($F4,Weekly!$E:$E,0))</f>
        <v>21</v>
      </c>
      <c r="K4" s="127">
        <f>INDEX(Weekly!H:H,MATCH($F4,Weekly!$E:$E,0))</f>
        <v>-5.05</v>
      </c>
      <c r="L4" s="285">
        <f>INDEX(Weekly!I:I,MATCH($F4,Weekly!$E:$E,0))</f>
        <v>1</v>
      </c>
      <c r="M4" s="261">
        <f>INDEX(Prizes!F:F,MATCH($B4,Prizes!A:A,0))</f>
        <v>31.5</v>
      </c>
      <c r="N4" s="459">
        <f>INDEX(Weekly!J:J,MATCH($F4,Weekly!$E:$E,0))</f>
        <v>15</v>
      </c>
      <c r="O4" s="261">
        <f>INDEX(Weekly!K:K,MATCH($F4,Weekly!$E:$E,0))</f>
        <v>0</v>
      </c>
      <c r="P4" s="628">
        <f>INDEX(Weekly!M:M,MATCH($F4,Weekly!$E:$E,0))</f>
        <v>46.5</v>
      </c>
      <c r="Q4" s="80"/>
      <c r="R4" s="276"/>
      <c r="S4" s="89" t="s">
        <v>260</v>
      </c>
      <c r="T4" s="76"/>
      <c r="U4" s="76"/>
      <c r="V4" s="76"/>
      <c r="W4" s="76"/>
      <c r="X4" s="76"/>
      <c r="Y4" s="76"/>
      <c r="Z4" s="76"/>
    </row>
    <row r="5" spans="1:26" ht="14" customHeight="1">
      <c r="A5" s="680"/>
      <c r="B5" s="1" t="str">
        <f t="shared" si="0"/>
        <v>A4</v>
      </c>
      <c r="C5" s="266" t="s">
        <v>514</v>
      </c>
      <c r="D5" s="10">
        <v>4</v>
      </c>
      <c r="E5" s="10" t="s">
        <v>226</v>
      </c>
      <c r="F5" s="4" t="s">
        <v>295</v>
      </c>
      <c r="G5" s="572"/>
      <c r="H5" s="10" t="s">
        <v>226</v>
      </c>
      <c r="I5" s="256">
        <f>INDEX(Weekly!F:F,MATCH($F5,Weekly!$E:$E,0))</f>
        <v>1.9268205128205116</v>
      </c>
      <c r="J5" s="280">
        <f>INDEX(Weekly!G:G,MATCH($F5,Weekly!$E:$E,0))</f>
        <v>25</v>
      </c>
      <c r="K5" s="127">
        <f>INDEX(Weekly!H:H,MATCH($F5,Weekly!$E:$E,0))</f>
        <v>-0.84500000000000064</v>
      </c>
      <c r="L5" s="285">
        <f>INDEX(Weekly!I:I,MATCH($F5,Weekly!$E:$E,0))</f>
        <v>2</v>
      </c>
      <c r="M5" s="261">
        <f>INDEX(Prizes!F:F,MATCH($B5,Prizes!A:A,0))</f>
        <v>21</v>
      </c>
      <c r="N5" s="459">
        <f>INDEX(Weekly!J:J,MATCH($F5,Weekly!$E:$E,0))</f>
        <v>10</v>
      </c>
      <c r="O5" s="261">
        <f>INDEX(Weekly!K:K,MATCH($F5,Weekly!$E:$E,0))</f>
        <v>0</v>
      </c>
      <c r="P5" s="628">
        <f>INDEX(Weekly!M:M,MATCH($F5,Weekly!$E:$E,0))</f>
        <v>31</v>
      </c>
      <c r="Q5" s="80"/>
      <c r="R5" s="270"/>
      <c r="S5" s="69" t="s">
        <v>261</v>
      </c>
      <c r="T5" s="76"/>
      <c r="U5" s="76"/>
      <c r="V5" s="76"/>
      <c r="W5" s="76"/>
      <c r="X5" s="76"/>
      <c r="Y5" s="76"/>
      <c r="Z5" s="76"/>
    </row>
    <row r="6" spans="1:26" ht="14" customHeight="1">
      <c r="A6" s="680"/>
      <c r="B6" s="10" t="str">
        <f t="shared" si="0"/>
        <v>A5</v>
      </c>
      <c r="C6" s="267" t="s">
        <v>514</v>
      </c>
      <c r="D6" s="1">
        <v>5</v>
      </c>
      <c r="E6" s="10" t="s">
        <v>226</v>
      </c>
      <c r="F6" s="4" t="s">
        <v>274</v>
      </c>
      <c r="G6" s="572"/>
      <c r="H6" s="10" t="s">
        <v>226</v>
      </c>
      <c r="I6" s="256">
        <f>INDEX(Weekly!F:F,MATCH($F6,Weekly!$E:$E,0))</f>
        <v>0.59698863636364496</v>
      </c>
      <c r="J6" s="280">
        <f>INDEX(Weekly!G:G,MATCH($F6,Weekly!$E:$E,0))</f>
        <v>22</v>
      </c>
      <c r="K6" s="127">
        <f>INDEX(Weekly!H:H,MATCH($F6,Weekly!$E:$E,0))</f>
        <v>0.83500000000000085</v>
      </c>
      <c r="L6" s="285">
        <f>INDEX(Weekly!I:I,MATCH($F6,Weekly!$E:$E,0))</f>
        <v>2</v>
      </c>
      <c r="M6" s="261">
        <f>INDEX(Prizes!F:F,MATCH($B6,Prizes!A:A,0))</f>
        <v>12.25</v>
      </c>
      <c r="N6" s="459">
        <f>INDEX(Weekly!J:J,MATCH($F6,Weekly!$E:$E,0))</f>
        <v>5</v>
      </c>
      <c r="O6" s="261">
        <f>INDEX(Weekly!K:K,MATCH($F6,Weekly!$E:$E,0))</f>
        <v>0</v>
      </c>
      <c r="P6" s="628">
        <f>INDEX(Weekly!M:M,MATCH($F6,Weekly!$E:$E,0))</f>
        <v>17.25</v>
      </c>
      <c r="Q6" s="80"/>
      <c r="R6" s="271"/>
      <c r="S6" s="69" t="s">
        <v>262</v>
      </c>
      <c r="T6" s="76"/>
      <c r="U6" s="76"/>
      <c r="V6" s="76"/>
      <c r="W6" s="76"/>
      <c r="X6" s="76"/>
      <c r="Y6" s="76"/>
      <c r="Z6" s="76"/>
    </row>
    <row r="7" spans="1:26" ht="14" customHeight="1">
      <c r="A7" s="680"/>
      <c r="B7" s="1" t="str">
        <f t="shared" si="0"/>
        <v>A6</v>
      </c>
      <c r="C7" s="266" t="s">
        <v>514</v>
      </c>
      <c r="D7" s="1">
        <v>6</v>
      </c>
      <c r="E7" s="10" t="s">
        <v>226</v>
      </c>
      <c r="F7" s="4" t="s">
        <v>278</v>
      </c>
      <c r="G7" s="572"/>
      <c r="H7" s="10" t="s">
        <v>226</v>
      </c>
      <c r="I7" s="256">
        <f>INDEX(Weekly!F:F,MATCH($F7,Weekly!$E:$E,0))</f>
        <v>-11.575036075036074</v>
      </c>
      <c r="J7" s="280">
        <f>INDEX(Weekly!G:G,MATCH($F7,Weekly!$E:$E,0))</f>
        <v>19</v>
      </c>
      <c r="K7" s="127">
        <f>INDEX(Weekly!H:H,MATCH($F7,Weekly!$E:$E,0))</f>
        <v>-4.7</v>
      </c>
      <c r="L7" s="285">
        <f>INDEX(Weekly!I:I,MATCH($F7,Weekly!$E:$E,0))</f>
        <v>1</v>
      </c>
      <c r="M7" s="261">
        <f>INDEX(Prizes!F:F,MATCH($B7,Prizes!A:A,0))</f>
        <v>5.25</v>
      </c>
      <c r="N7" s="459">
        <f>INDEX(Weekly!J:J,MATCH($F7,Weekly!$E:$E,0))</f>
        <v>20</v>
      </c>
      <c r="O7" s="261">
        <f>INDEX(Weekly!K:K,MATCH($F7,Weekly!$E:$E,0))</f>
        <v>0</v>
      </c>
      <c r="P7" s="628">
        <f>INDEX(Weekly!M:M,MATCH($F7,Weekly!$E:$E,0))</f>
        <v>25.25</v>
      </c>
      <c r="Q7" s="80"/>
      <c r="R7" s="272"/>
      <c r="S7" s="69" t="s">
        <v>263</v>
      </c>
      <c r="T7" s="76"/>
      <c r="U7" s="76"/>
      <c r="V7" s="76"/>
      <c r="W7" s="76"/>
      <c r="X7" s="76"/>
      <c r="Y7" s="76"/>
      <c r="Z7" s="76"/>
    </row>
    <row r="8" spans="1:26" ht="14" customHeight="1">
      <c r="A8" s="680"/>
      <c r="B8" s="1" t="str">
        <f t="shared" si="0"/>
        <v>A7</v>
      </c>
      <c r="C8" s="266" t="s">
        <v>514</v>
      </c>
      <c r="D8" s="1">
        <v>7</v>
      </c>
      <c r="E8" s="10" t="s">
        <v>226</v>
      </c>
      <c r="F8" s="4" t="s">
        <v>303</v>
      </c>
      <c r="G8" s="572"/>
      <c r="H8" s="10" t="s">
        <v>226</v>
      </c>
      <c r="I8" s="256">
        <f>INDEX(Weekly!F:F,MATCH($F8,Weekly!$E:$E,0))</f>
        <v>-27.178156565656561</v>
      </c>
      <c r="J8" s="280">
        <f>INDEX(Weekly!G:G,MATCH($F8,Weekly!$E:$E,0))</f>
        <v>20</v>
      </c>
      <c r="K8" s="127">
        <f>INDEX(Weekly!H:H,MATCH($F8,Weekly!$E:$E,0))</f>
        <v>-0.52666666666666728</v>
      </c>
      <c r="L8" s="285">
        <f>INDEX(Weekly!I:I,MATCH($F8,Weekly!$E:$E,0))</f>
        <v>2</v>
      </c>
      <c r="M8" s="261">
        <f>INDEX(Prizes!F:F,MATCH($B8,Prizes!A:A,0))</f>
        <v>0</v>
      </c>
      <c r="N8" s="459">
        <f>INDEX(Weekly!J:J,MATCH($F8,Weekly!$E:$E,0))</f>
        <v>5</v>
      </c>
      <c r="O8" s="261">
        <f>INDEX(Weekly!K:K,MATCH($F8,Weekly!$E:$E,0))</f>
        <v>0</v>
      </c>
      <c r="P8" s="628">
        <f>INDEX(Weekly!M:M,MATCH($F8,Weekly!$E:$E,0))</f>
        <v>5</v>
      </c>
      <c r="Q8" s="80"/>
      <c r="R8" s="273"/>
      <c r="S8" s="69" t="s">
        <v>264</v>
      </c>
      <c r="T8" s="76"/>
      <c r="U8" s="76"/>
      <c r="V8" s="76"/>
      <c r="W8" s="76"/>
      <c r="X8" s="76"/>
      <c r="Y8" s="76"/>
      <c r="Z8" s="76"/>
    </row>
    <row r="9" spans="1:26" ht="14" customHeight="1">
      <c r="A9" s="680"/>
      <c r="B9" s="1" t="str">
        <f t="shared" si="0"/>
        <v>A8</v>
      </c>
      <c r="C9" s="266" t="s">
        <v>514</v>
      </c>
      <c r="D9" s="1">
        <v>8</v>
      </c>
      <c r="E9" s="10" t="s">
        <v>226</v>
      </c>
      <c r="F9" s="4" t="s">
        <v>277</v>
      </c>
      <c r="G9" s="572"/>
      <c r="H9" s="10" t="s">
        <v>226</v>
      </c>
      <c r="I9" s="256">
        <f>INDEX(Weekly!F:F,MATCH($F9,Weekly!$E:$E,0))</f>
        <v>-28.426616161616163</v>
      </c>
      <c r="J9" s="280">
        <f>INDEX(Weekly!G:G,MATCH($F9,Weekly!$E:$E,0))</f>
        <v>23</v>
      </c>
      <c r="K9" s="127">
        <f>INDEX(Weekly!H:H,MATCH($F9,Weekly!$E:$E,0))</f>
        <v>10.683333333333334</v>
      </c>
      <c r="L9" s="285">
        <f>INDEX(Weekly!I:I,MATCH($F9,Weekly!$E:$E,0))</f>
        <v>3</v>
      </c>
      <c r="M9" s="261">
        <f>INDEX(Prizes!F:F,MATCH($B9,Prizes!A:A,0))</f>
        <v>0</v>
      </c>
      <c r="N9" s="459">
        <f>INDEX(Weekly!J:J,MATCH($F9,Weekly!$E:$E,0))</f>
        <v>0</v>
      </c>
      <c r="O9" s="261">
        <f>INDEX(Weekly!K:K,MATCH($F9,Weekly!$E:$E,0))</f>
        <v>0</v>
      </c>
      <c r="P9" s="628">
        <f>INDEX(Weekly!M:M,MATCH($F9,Weekly!$E:$E,0))</f>
        <v>0</v>
      </c>
      <c r="Q9" s="80"/>
      <c r="R9" s="274"/>
      <c r="S9" s="69" t="s">
        <v>265</v>
      </c>
      <c r="T9" s="76"/>
      <c r="U9" s="76"/>
      <c r="V9" s="76"/>
      <c r="W9" s="76"/>
      <c r="X9" s="76"/>
      <c r="Y9" s="76"/>
      <c r="Z9" s="76"/>
    </row>
    <row r="10" spans="1:26" ht="14" customHeight="1">
      <c r="A10" s="680"/>
      <c r="B10" s="1" t="str">
        <f t="shared" si="0"/>
        <v>A9</v>
      </c>
      <c r="C10" s="473" t="s">
        <v>257</v>
      </c>
      <c r="D10" s="1">
        <v>9</v>
      </c>
      <c r="E10" s="10" t="s">
        <v>226</v>
      </c>
      <c r="F10" s="4" t="s">
        <v>272</v>
      </c>
      <c r="G10" s="572"/>
      <c r="H10" s="10" t="s">
        <v>226</v>
      </c>
      <c r="I10" s="256">
        <f>INDEX(Weekly!F:F,MATCH($F10,Weekly!$E:$E,0))</f>
        <v>-31.952575757575758</v>
      </c>
      <c r="J10" s="280">
        <f>INDEX(Weekly!G:G,MATCH($F10,Weekly!$E:$E,0))</f>
        <v>17</v>
      </c>
      <c r="K10" s="127">
        <f>INDEX(Weekly!H:H,MATCH($F10,Weekly!$E:$E,0))</f>
        <v>1.6187500000000004</v>
      </c>
      <c r="L10" s="285">
        <f>INDEX(Weekly!I:I,MATCH($F10,Weekly!$E:$E,0))</f>
        <v>2</v>
      </c>
      <c r="M10" s="261">
        <f>INDEX(Prizes!F:F,MATCH($B10,Prizes!A:A,0))</f>
        <v>0</v>
      </c>
      <c r="N10" s="459">
        <f>INDEX(Weekly!J:J,MATCH($F10,Weekly!$E:$E,0))</f>
        <v>0</v>
      </c>
      <c r="O10" s="261">
        <f>INDEX(Weekly!K:K,MATCH($F10,Weekly!$E:$E,0))</f>
        <v>0</v>
      </c>
      <c r="P10" s="628">
        <f>INDEX(Weekly!M:M,MATCH($F10,Weekly!$E:$E,0))</f>
        <v>0</v>
      </c>
      <c r="Q10" s="80"/>
      <c r="R10" s="275"/>
      <c r="S10" s="69" t="s">
        <v>266</v>
      </c>
      <c r="T10" s="76"/>
      <c r="U10" s="76"/>
      <c r="V10" s="76"/>
      <c r="W10" s="76"/>
      <c r="X10" s="76"/>
      <c r="Y10" s="76"/>
      <c r="Z10" s="76"/>
    </row>
    <row r="11" spans="1:26" ht="14" customHeight="1">
      <c r="A11" s="680"/>
      <c r="B11" s="1" t="str">
        <f t="shared" si="0"/>
        <v>A10</v>
      </c>
      <c r="C11" s="473" t="s">
        <v>257</v>
      </c>
      <c r="D11" s="1">
        <v>10</v>
      </c>
      <c r="E11" s="10" t="s">
        <v>226</v>
      </c>
      <c r="F11" s="4" t="s">
        <v>282</v>
      </c>
      <c r="G11" s="575"/>
      <c r="H11" s="10" t="s">
        <v>226</v>
      </c>
      <c r="I11" s="256">
        <f>INDEX(Weekly!F:F,MATCH($F11,Weekly!$E:$E,0))</f>
        <v>-35.295038850038857</v>
      </c>
      <c r="J11" s="280">
        <f>INDEX(Weekly!G:G,MATCH($F11,Weekly!$E:$E,0))</f>
        <v>23</v>
      </c>
      <c r="K11" s="127">
        <f>INDEX(Weekly!H:H,MATCH($F11,Weekly!$E:$E,0))</f>
        <v>-5.5</v>
      </c>
      <c r="L11" s="285">
        <f>INDEX(Weekly!I:I,MATCH($F11,Weekly!$E:$E,0))</f>
        <v>1</v>
      </c>
      <c r="M11" s="261">
        <f>INDEX(Prizes!F:F,MATCH($B11,Prizes!A:A,0))</f>
        <v>0</v>
      </c>
      <c r="N11" s="459">
        <f>INDEX(Weekly!J:J,MATCH($F11,Weekly!$E:$E,0))</f>
        <v>0</v>
      </c>
      <c r="O11" s="261">
        <f>INDEX(Weekly!K:K,MATCH($F11,Weekly!$E:$E,0))</f>
        <v>0</v>
      </c>
      <c r="P11" s="628">
        <f>INDEX(Weekly!M:M,MATCH($F11,Weekly!$E:$E,0))</f>
        <v>0</v>
      </c>
      <c r="Q11" s="80"/>
      <c r="R11" s="76"/>
      <c r="S11" s="76"/>
      <c r="T11" s="76"/>
      <c r="U11" s="76"/>
      <c r="V11" s="76"/>
      <c r="W11" s="76"/>
      <c r="X11" s="76"/>
      <c r="Y11" s="76"/>
      <c r="Z11" s="76"/>
    </row>
    <row r="12" spans="1:26" ht="14" customHeight="1">
      <c r="A12" s="680"/>
      <c r="B12" s="1" t="str">
        <f t="shared" si="0"/>
        <v>A11</v>
      </c>
      <c r="C12" s="346" t="s">
        <v>258</v>
      </c>
      <c r="D12" s="347">
        <v>11</v>
      </c>
      <c r="E12" s="568" t="s">
        <v>226</v>
      </c>
      <c r="F12" s="339" t="s">
        <v>301</v>
      </c>
      <c r="G12" s="573"/>
      <c r="H12" s="568" t="s">
        <v>226</v>
      </c>
      <c r="I12" s="340">
        <f>INDEX(Weekly!F:F,MATCH($F12,Weekly!$E:$E,0))</f>
        <v>-41.493300865800869</v>
      </c>
      <c r="J12" s="341">
        <f>INDEX(Weekly!G:G,MATCH($F12,Weekly!$E:$E,0))</f>
        <v>21</v>
      </c>
      <c r="K12" s="342">
        <f>INDEX(Weekly!H:H,MATCH($F12,Weekly!$E:$E,0))</f>
        <v>-5.4666666666666668</v>
      </c>
      <c r="L12" s="343">
        <f>INDEX(Weekly!I:I,MATCH($F12,Weekly!$E:$E,0))</f>
        <v>1</v>
      </c>
      <c r="M12" s="344">
        <f>INDEX(Prizes!F:F,MATCH($B12,Prizes!A:A,0))</f>
        <v>0</v>
      </c>
      <c r="N12" s="345">
        <f>INDEX(Weekly!J:J,MATCH($F12,Weekly!$E:$E,0))</f>
        <v>0</v>
      </c>
      <c r="O12" s="344">
        <f>INDEX(Weekly!K:K,MATCH($F12,Weekly!$E:$E,0))</f>
        <v>0</v>
      </c>
      <c r="P12" s="629">
        <f>INDEX(Weekly!M:M,MATCH($F12,Weekly!$E:$E,0))</f>
        <v>0</v>
      </c>
      <c r="Q12" s="80"/>
      <c r="R12" s="76"/>
      <c r="S12" s="76"/>
      <c r="T12" s="76"/>
      <c r="U12" s="76"/>
      <c r="V12" s="76"/>
      <c r="W12" s="76"/>
      <c r="X12" s="76"/>
      <c r="Y12" s="76"/>
      <c r="Z12" s="76"/>
    </row>
    <row r="13" spans="1:26" ht="14" customHeight="1">
      <c r="A13" s="680"/>
      <c r="B13" s="10" t="str">
        <f t="shared" si="0"/>
        <v>A12</v>
      </c>
      <c r="C13" s="254" t="s">
        <v>258</v>
      </c>
      <c r="D13" s="1">
        <v>12</v>
      </c>
      <c r="E13" s="10" t="s">
        <v>226</v>
      </c>
      <c r="F13" s="4" t="s">
        <v>283</v>
      </c>
      <c r="G13" s="572"/>
      <c r="H13" s="10" t="s">
        <v>226</v>
      </c>
      <c r="I13" s="256">
        <f>INDEX(Weekly!F:F,MATCH($F13,Weekly!$E:$E,0))</f>
        <v>-44.275576923076926</v>
      </c>
      <c r="J13" s="280">
        <f>INDEX(Weekly!G:G,MATCH($F13,Weekly!$E:$E,0))</f>
        <v>15</v>
      </c>
      <c r="K13" s="127">
        <f>INDEX(Weekly!H:H,MATCH($F13,Weekly!$E:$E,0))</f>
        <v>-4.625</v>
      </c>
      <c r="L13" s="285">
        <f>INDEX(Weekly!I:I,MATCH($F13,Weekly!$E:$E,0))</f>
        <v>1</v>
      </c>
      <c r="M13" s="261">
        <f>INDEX(Prizes!F:F,MATCH($B13,Prizes!A:A,0))</f>
        <v>0</v>
      </c>
      <c r="N13" s="459">
        <f>INDEX(Weekly!J:J,MATCH($F13,Weekly!$E:$E,0))</f>
        <v>5</v>
      </c>
      <c r="O13" s="261">
        <f>INDEX(Weekly!K:K,MATCH($F13,Weekly!$E:$E,0))</f>
        <v>0</v>
      </c>
      <c r="P13" s="628">
        <f>INDEX(Weekly!M:M,MATCH($F13,Weekly!$E:$E,0))</f>
        <v>5</v>
      </c>
      <c r="Q13" s="80"/>
      <c r="R13" s="76"/>
      <c r="S13" s="76"/>
      <c r="T13" s="76"/>
      <c r="U13" s="76"/>
      <c r="V13" s="76"/>
      <c r="W13" s="76"/>
      <c r="X13" s="76"/>
      <c r="Y13" s="76"/>
      <c r="Z13" s="76"/>
    </row>
    <row r="14" spans="1:26" ht="14" customHeight="1">
      <c r="A14" s="680"/>
      <c r="B14" s="1" t="str">
        <f t="shared" si="0"/>
        <v>A13</v>
      </c>
      <c r="C14" s="253" t="s">
        <v>258</v>
      </c>
      <c r="D14" s="1">
        <v>13</v>
      </c>
      <c r="E14" s="10" t="s">
        <v>226</v>
      </c>
      <c r="F14" s="4" t="s">
        <v>293</v>
      </c>
      <c r="G14" s="572"/>
      <c r="H14" s="10" t="s">
        <v>226</v>
      </c>
      <c r="I14" s="256">
        <f>INDEX(Weekly!F:F,MATCH($F14,Weekly!$E:$E,0))</f>
        <v>-49.135627705627698</v>
      </c>
      <c r="J14" s="280">
        <f>INDEX(Weekly!G:G,MATCH($F14,Weekly!$E:$E,0))</f>
        <v>18</v>
      </c>
      <c r="K14" s="127">
        <f>INDEX(Weekly!H:H,MATCH($F14,Weekly!$E:$E,0))</f>
        <v>-5</v>
      </c>
      <c r="L14" s="285">
        <f>INDEX(Weekly!I:I,MATCH($F14,Weekly!$E:$E,0))</f>
        <v>1</v>
      </c>
      <c r="M14" s="261">
        <f>INDEX(Prizes!F:F,MATCH($B14,Prizes!A:A,0))</f>
        <v>0</v>
      </c>
      <c r="N14" s="459">
        <f>INDEX(Weekly!J:J,MATCH($F14,Weekly!$E:$E,0))</f>
        <v>0</v>
      </c>
      <c r="O14" s="261">
        <f>INDEX(Weekly!K:K,MATCH($F14,Weekly!$E:$E,0))</f>
        <v>0</v>
      </c>
      <c r="P14" s="628">
        <f>INDEX(Weekly!M:M,MATCH($F14,Weekly!$E:$E,0))</f>
        <v>0</v>
      </c>
      <c r="Q14" s="80"/>
      <c r="R14" s="76"/>
      <c r="S14" s="76"/>
      <c r="T14" s="76"/>
      <c r="U14" s="76"/>
      <c r="V14" s="76"/>
      <c r="W14" s="76"/>
      <c r="X14" s="76"/>
      <c r="Y14" s="76"/>
      <c r="Z14" s="76"/>
    </row>
    <row r="15" spans="1:26" ht="14" customHeight="1">
      <c r="A15" s="680"/>
      <c r="B15" s="1" t="str">
        <f t="shared" si="0"/>
        <v>A14</v>
      </c>
      <c r="C15" s="253" t="s">
        <v>258</v>
      </c>
      <c r="D15" s="1">
        <v>14</v>
      </c>
      <c r="E15" s="10" t="s">
        <v>226</v>
      </c>
      <c r="F15" s="4" t="s">
        <v>287</v>
      </c>
      <c r="G15" s="572"/>
      <c r="H15" s="10" t="s">
        <v>226</v>
      </c>
      <c r="I15" s="256">
        <f>INDEX(Weekly!F:F,MATCH($F15,Weekly!$E:$E,0))</f>
        <v>-52.295546536796536</v>
      </c>
      <c r="J15" s="280">
        <f>INDEX(Weekly!G:G,MATCH($F15,Weekly!$E:$E,0))</f>
        <v>16</v>
      </c>
      <c r="K15" s="127">
        <f>INDEX(Weekly!H:H,MATCH($F15,Weekly!$E:$E,0))</f>
        <v>2.125</v>
      </c>
      <c r="L15" s="285">
        <f>INDEX(Weekly!I:I,MATCH($F15,Weekly!$E:$E,0))</f>
        <v>2</v>
      </c>
      <c r="M15" s="261">
        <f>INDEX(Prizes!F:F,MATCH($B15,Prizes!A:A,0))</f>
        <v>0</v>
      </c>
      <c r="N15" s="459">
        <f>INDEX(Weekly!J:J,MATCH($F15,Weekly!$E:$E,0))</f>
        <v>0</v>
      </c>
      <c r="O15" s="261">
        <f>INDEX(Weekly!K:K,MATCH($F15,Weekly!$E:$E,0))</f>
        <v>0</v>
      </c>
      <c r="P15" s="628">
        <f>INDEX(Weekly!M:M,MATCH($F15,Weekly!$E:$E,0))</f>
        <v>0</v>
      </c>
      <c r="Q15" s="80"/>
      <c r="R15" s="76"/>
      <c r="S15" s="76"/>
      <c r="T15" s="76"/>
      <c r="U15" s="76"/>
      <c r="V15" s="76"/>
      <c r="W15" s="76"/>
      <c r="X15" s="76"/>
      <c r="Y15" s="76"/>
      <c r="Z15" s="76"/>
    </row>
    <row r="16" spans="1:26" ht="14" customHeight="1">
      <c r="A16" s="680"/>
      <c r="B16" s="1" t="str">
        <f t="shared" si="0"/>
        <v>A15</v>
      </c>
      <c r="C16" s="253" t="s">
        <v>258</v>
      </c>
      <c r="D16" s="1">
        <v>15</v>
      </c>
      <c r="E16" s="10" t="s">
        <v>226</v>
      </c>
      <c r="F16" s="4" t="s">
        <v>359</v>
      </c>
      <c r="G16" s="572"/>
      <c r="H16" s="10" t="s">
        <v>226</v>
      </c>
      <c r="I16" s="256">
        <f>INDEX(Weekly!F:F,MATCH($F16,Weekly!$E:$E,0))</f>
        <v>-68.643787878787876</v>
      </c>
      <c r="J16" s="280">
        <f>INDEX(Weekly!G:G,MATCH($F16,Weekly!$E:$E,0))</f>
        <v>12</v>
      </c>
      <c r="K16" s="127">
        <f>INDEX(Weekly!H:H,MATCH($F16,Weekly!$E:$E,0))</f>
        <v>-7</v>
      </c>
      <c r="L16" s="285">
        <f>INDEX(Weekly!I:I,MATCH($F16,Weekly!$E:$E,0))</f>
        <v>0</v>
      </c>
      <c r="M16" s="261">
        <f>INDEX(Prizes!F:F,MATCH($B16,Prizes!A:A,0))</f>
        <v>0</v>
      </c>
      <c r="N16" s="459">
        <f>INDEX(Weekly!J:J,MATCH($F16,Weekly!$E:$E,0))</f>
        <v>0</v>
      </c>
      <c r="O16" s="261">
        <f>INDEX(Weekly!K:K,MATCH($F16,Weekly!$E:$E,0))</f>
        <v>0</v>
      </c>
      <c r="P16" s="628">
        <f>INDEX(Weekly!M:M,MATCH($F16,Weekly!$E:$E,0))</f>
        <v>0</v>
      </c>
      <c r="Q16" s="79" t="s">
        <v>556</v>
      </c>
      <c r="R16" s="76"/>
      <c r="S16" s="76"/>
      <c r="T16" s="76"/>
      <c r="U16" s="76"/>
      <c r="V16" s="76"/>
      <c r="W16" s="76"/>
      <c r="X16" s="76"/>
      <c r="Y16" s="76"/>
      <c r="Z16" s="76"/>
    </row>
    <row r="17" spans="1:26" ht="14" customHeight="1" thickBot="1">
      <c r="A17" s="680"/>
      <c r="B17" s="1" t="str">
        <f t="shared" si="0"/>
        <v>A16</v>
      </c>
      <c r="C17" s="255" t="s">
        <v>258</v>
      </c>
      <c r="D17" s="249">
        <v>16</v>
      </c>
      <c r="E17" s="569" t="s">
        <v>226</v>
      </c>
      <c r="F17" s="666" t="s">
        <v>296</v>
      </c>
      <c r="G17" s="574"/>
      <c r="H17" s="569" t="s">
        <v>226</v>
      </c>
      <c r="I17" s="258">
        <f>INDEX(Weekly!F:F,MATCH($F17,Weekly!$E:$E,0))</f>
        <v>-80.05</v>
      </c>
      <c r="J17" s="282">
        <f>INDEX(Weekly!G:G,MATCH($F17,Weekly!$E:$E,0))</f>
        <v>5</v>
      </c>
      <c r="K17" s="144">
        <f>INDEX(Weekly!H:H,MATCH($F17,Weekly!$E:$E,0))</f>
        <v>-7</v>
      </c>
      <c r="L17" s="287">
        <f>INDEX(Weekly!I:I,MATCH($F17,Weekly!$E:$E,0))</f>
        <v>0</v>
      </c>
      <c r="M17" s="264">
        <f>INDEX(Prizes!F:F,MATCH($B17,Prizes!A:A,0))</f>
        <v>0</v>
      </c>
      <c r="N17" s="265">
        <f>INDEX(Weekly!J:J,MATCH($F17,Weekly!$E:$E,0))</f>
        <v>0</v>
      </c>
      <c r="O17" s="264">
        <f>INDEX(Weekly!K:K,MATCH($F17,Weekly!$E:$E,0))</f>
        <v>0</v>
      </c>
      <c r="P17" s="630">
        <f>INDEX(Weekly!M:M,MATCH($F17,Weekly!$E:$E,0))</f>
        <v>0</v>
      </c>
      <c r="Q17" s="80"/>
      <c r="R17" s="76"/>
      <c r="S17" s="76"/>
      <c r="T17" s="76"/>
      <c r="U17" s="76"/>
      <c r="V17" s="76"/>
      <c r="W17" s="76"/>
      <c r="X17" s="76"/>
      <c r="Y17" s="76"/>
      <c r="Z17" s="76"/>
    </row>
    <row r="18" spans="1:26" ht="14" customHeight="1">
      <c r="A18" s="679" t="s">
        <v>219</v>
      </c>
      <c r="B18" s="1" t="str">
        <f t="shared" si="0"/>
        <v>B1</v>
      </c>
      <c r="C18" s="252" t="s">
        <v>259</v>
      </c>
      <c r="D18" s="1">
        <v>1</v>
      </c>
      <c r="E18" s="10" t="s">
        <v>227</v>
      </c>
      <c r="F18" s="4" t="s">
        <v>308</v>
      </c>
      <c r="G18" s="572"/>
      <c r="H18" s="10" t="s">
        <v>227</v>
      </c>
      <c r="I18" s="256">
        <f>INDEX(Weekly!F:F,MATCH($F18,Weekly!$E:$E,0))</f>
        <v>53.166000000000004</v>
      </c>
      <c r="J18" s="280">
        <f>INDEX(Weekly!G:G,MATCH($F18,Weekly!$E:$E,0))</f>
        <v>16</v>
      </c>
      <c r="K18" s="127">
        <f>INDEX(Weekly!H:H,MATCH($F18,Weekly!$E:$E,0))</f>
        <v>-5.35</v>
      </c>
      <c r="L18" s="285">
        <f>INDEX(Weekly!I:I,MATCH($F18,Weekly!$E:$E,0))</f>
        <v>1</v>
      </c>
      <c r="M18" s="261">
        <f>INDEX(Prizes!F:F,MATCH($B18,Prizes!A:A,0))</f>
        <v>42.874999999999993</v>
      </c>
      <c r="N18" s="459">
        <f>INDEX(Weekly!J:J,MATCH($F18,Weekly!$E:$E,0))</f>
        <v>20</v>
      </c>
      <c r="O18" s="261">
        <f>INDEX(Weekly!K:K,MATCH($F18,Weekly!$E:$E,0))</f>
        <v>0</v>
      </c>
      <c r="P18" s="628">
        <f>INDEX(Weekly!M:M,MATCH($F18,Weekly!$E:$E,0))</f>
        <v>62.874999999999993</v>
      </c>
      <c r="Q18" s="80"/>
      <c r="R18" s="76"/>
      <c r="S18" s="76"/>
      <c r="T18" s="76"/>
      <c r="U18" s="76"/>
      <c r="V18" s="76"/>
      <c r="W18" s="76"/>
      <c r="X18" s="76"/>
      <c r="Y18" s="76"/>
      <c r="Z18" s="76"/>
    </row>
    <row r="19" spans="1:26" ht="14" customHeight="1">
      <c r="A19" s="680"/>
      <c r="B19" s="1" t="str">
        <f t="shared" si="0"/>
        <v>B2</v>
      </c>
      <c r="C19" s="251" t="s">
        <v>259</v>
      </c>
      <c r="D19" s="1">
        <v>2</v>
      </c>
      <c r="E19" s="10" t="s">
        <v>227</v>
      </c>
      <c r="F19" s="4" t="s">
        <v>279</v>
      </c>
      <c r="G19" s="572"/>
      <c r="H19" s="10" t="s">
        <v>227</v>
      </c>
      <c r="I19" s="256">
        <f>INDEX(Weekly!F:F,MATCH($F19,Weekly!$E:$E,0))</f>
        <v>16.780674242424247</v>
      </c>
      <c r="J19" s="280">
        <f>INDEX(Weekly!G:G,MATCH($F19,Weekly!$E:$E,0))</f>
        <v>19</v>
      </c>
      <c r="K19" s="127">
        <f>INDEX(Weekly!H:H,MATCH($F19,Weekly!$E:$E,0))</f>
        <v>0.83500000000000085</v>
      </c>
      <c r="L19" s="285">
        <f>INDEX(Weekly!I:I,MATCH($F19,Weekly!$E:$E,0))</f>
        <v>2</v>
      </c>
      <c r="M19" s="261">
        <f>INDEX(Prizes!F:F,MATCH($B19,Prizes!A:A,0))</f>
        <v>30.624999999999996</v>
      </c>
      <c r="N19" s="459">
        <f>INDEX(Weekly!J:J,MATCH($F19,Weekly!$E:$E,0))</f>
        <v>10</v>
      </c>
      <c r="O19" s="261">
        <f>INDEX(Weekly!K:K,MATCH($F19,Weekly!$E:$E,0))</f>
        <v>0</v>
      </c>
      <c r="P19" s="628">
        <f>INDEX(Weekly!M:M,MATCH($F19,Weekly!$E:$E,0))</f>
        <v>40.625</v>
      </c>
      <c r="Q19" s="80"/>
      <c r="R19" s="76"/>
      <c r="S19" s="76"/>
      <c r="T19" s="76"/>
      <c r="U19" s="76"/>
      <c r="V19" s="76"/>
      <c r="W19" s="76"/>
      <c r="X19" s="76"/>
      <c r="Y19" s="76"/>
      <c r="Z19" s="76"/>
    </row>
    <row r="20" spans="1:26" ht="14" customHeight="1">
      <c r="A20" s="680"/>
      <c r="B20" s="1" t="str">
        <f t="shared" si="0"/>
        <v>B3</v>
      </c>
      <c r="C20" s="251" t="s">
        <v>259</v>
      </c>
      <c r="D20" s="1">
        <v>3</v>
      </c>
      <c r="E20" s="10" t="s">
        <v>227</v>
      </c>
      <c r="F20" s="4" t="s">
        <v>273</v>
      </c>
      <c r="G20" s="572"/>
      <c r="H20" s="10" t="s">
        <v>227</v>
      </c>
      <c r="I20" s="256">
        <f>INDEX(Weekly!F:F,MATCH($F20,Weekly!$E:$E,0))</f>
        <v>1.6646320346320316</v>
      </c>
      <c r="J20" s="280">
        <f>INDEX(Weekly!G:G,MATCH($F20,Weekly!$E:$E,0))</f>
        <v>26</v>
      </c>
      <c r="K20" s="127">
        <f>INDEX(Weekly!H:H,MATCH($F20,Weekly!$E:$E,0))</f>
        <v>-1.375</v>
      </c>
      <c r="L20" s="285">
        <f>INDEX(Weekly!I:I,MATCH($F20,Weekly!$E:$E,0))</f>
        <v>2</v>
      </c>
      <c r="M20" s="261">
        <f>INDEX(Prizes!F:F,MATCH($B20,Prizes!A:A,0))</f>
        <v>22.049999999999997</v>
      </c>
      <c r="N20" s="459">
        <f>INDEX(Weekly!J:J,MATCH($F20,Weekly!$E:$E,0))</f>
        <v>5</v>
      </c>
      <c r="O20" s="261">
        <f>INDEX(Weekly!K:K,MATCH($F20,Weekly!$E:$E,0))</f>
        <v>0</v>
      </c>
      <c r="P20" s="628">
        <f>INDEX(Weekly!M:M,MATCH($F20,Weekly!$E:$E,0))</f>
        <v>27.049999999999997</v>
      </c>
      <c r="Q20" s="80"/>
      <c r="R20" s="76"/>
      <c r="S20" s="76"/>
      <c r="T20" s="76"/>
      <c r="U20" s="76"/>
      <c r="V20" s="76"/>
      <c r="W20" s="76"/>
      <c r="X20" s="76"/>
      <c r="Y20" s="76"/>
      <c r="Z20" s="76"/>
    </row>
    <row r="21" spans="1:26" ht="14" customHeight="1">
      <c r="A21" s="680"/>
      <c r="B21" s="1" t="str">
        <f t="shared" si="0"/>
        <v>B4</v>
      </c>
      <c r="C21" s="251" t="s">
        <v>259</v>
      </c>
      <c r="D21" s="1">
        <v>4</v>
      </c>
      <c r="E21" s="10" t="s">
        <v>227</v>
      </c>
      <c r="F21" s="4" t="s">
        <v>276</v>
      </c>
      <c r="G21" s="572"/>
      <c r="H21" s="10" t="s">
        <v>227</v>
      </c>
      <c r="I21" s="256">
        <f>INDEX(Weekly!F:F,MATCH($F21,Weekly!$E:$E,0))</f>
        <v>-8.5657750068861187</v>
      </c>
      <c r="J21" s="280">
        <f>INDEX(Weekly!G:G,MATCH($F21,Weekly!$E:$E,0))</f>
        <v>24</v>
      </c>
      <c r="K21" s="127">
        <f>INDEX(Weekly!H:H,MATCH($F21,Weekly!$E:$E,0))</f>
        <v>0.83500000000000085</v>
      </c>
      <c r="L21" s="285">
        <f>INDEX(Weekly!I:I,MATCH($F21,Weekly!$E:$E,0))</f>
        <v>2</v>
      </c>
      <c r="M21" s="261">
        <f>INDEX(Prizes!F:F,MATCH($B21,Prizes!A:A,0))</f>
        <v>14.699999999999998</v>
      </c>
      <c r="N21" s="459">
        <f>INDEX(Weekly!J:J,MATCH($F21,Weekly!$E:$E,0))</f>
        <v>10</v>
      </c>
      <c r="O21" s="261">
        <f>INDEX(Weekly!K:K,MATCH($F21,Weekly!$E:$E,0))</f>
        <v>0</v>
      </c>
      <c r="P21" s="628">
        <f>INDEX(Weekly!M:M,MATCH($F21,Weekly!$E:$E,0))</f>
        <v>24.699999999999996</v>
      </c>
      <c r="Q21" s="80"/>
      <c r="R21" s="76"/>
      <c r="S21" s="76"/>
      <c r="T21" s="76"/>
      <c r="U21" s="76"/>
      <c r="V21" s="76"/>
      <c r="W21" s="76"/>
      <c r="X21" s="76"/>
      <c r="Y21" s="76"/>
      <c r="Z21" s="76"/>
    </row>
    <row r="22" spans="1:26" ht="14" customHeight="1">
      <c r="A22" s="680"/>
      <c r="B22" s="1" t="str">
        <f t="shared" si="0"/>
        <v>B5</v>
      </c>
      <c r="C22" s="251" t="s">
        <v>259</v>
      </c>
      <c r="D22" s="1">
        <v>5</v>
      </c>
      <c r="E22" s="10" t="s">
        <v>227</v>
      </c>
      <c r="F22" s="4" t="s">
        <v>306</v>
      </c>
      <c r="G22" s="572"/>
      <c r="H22" s="10" t="s">
        <v>227</v>
      </c>
      <c r="I22" s="256">
        <f>INDEX(Weekly!F:F,MATCH($F22,Weekly!$E:$E,0))</f>
        <v>-16.044926035502968</v>
      </c>
      <c r="J22" s="280">
        <f>INDEX(Weekly!G:G,MATCH($F22,Weekly!$E:$E,0))</f>
        <v>18</v>
      </c>
      <c r="K22" s="127">
        <f>INDEX(Weekly!H:H,MATCH($F22,Weekly!$E:$E,0))</f>
        <v>-4.9000000000000004</v>
      </c>
      <c r="L22" s="285">
        <f>INDEX(Weekly!I:I,MATCH($F22,Weekly!$E:$E,0))</f>
        <v>1</v>
      </c>
      <c r="M22" s="261">
        <f>INDEX(Prizes!F:F,MATCH($B22,Prizes!A:A,0))</f>
        <v>8.5749999999999993</v>
      </c>
      <c r="N22" s="459">
        <f>INDEX(Weekly!J:J,MATCH($F22,Weekly!$E:$E,0))</f>
        <v>10</v>
      </c>
      <c r="O22" s="261">
        <f>INDEX(Weekly!K:K,MATCH($F22,Weekly!$E:$E,0))</f>
        <v>0</v>
      </c>
      <c r="P22" s="628">
        <f>INDEX(Weekly!M:M,MATCH($F22,Weekly!$E:$E,0))</f>
        <v>18.574999999999999</v>
      </c>
      <c r="Q22" s="80"/>
      <c r="R22" s="76"/>
      <c r="S22" s="76"/>
      <c r="T22" s="76"/>
      <c r="U22" s="76"/>
      <c r="V22" s="76"/>
      <c r="W22" s="76"/>
      <c r="X22" s="76"/>
      <c r="Y22" s="76"/>
      <c r="Z22" s="76"/>
    </row>
    <row r="23" spans="1:26" ht="14" customHeight="1">
      <c r="A23" s="680"/>
      <c r="B23" s="10" t="str">
        <f t="shared" si="0"/>
        <v>B6</v>
      </c>
      <c r="C23" s="331" t="s">
        <v>259</v>
      </c>
      <c r="D23" s="349">
        <v>6</v>
      </c>
      <c r="E23" s="570" t="s">
        <v>227</v>
      </c>
      <c r="F23" s="332" t="s">
        <v>298</v>
      </c>
      <c r="G23" s="575"/>
      <c r="H23" s="570" t="s">
        <v>227</v>
      </c>
      <c r="I23" s="333">
        <f>INDEX(Weekly!F:F,MATCH($F23,Weekly!$E:$E,0))</f>
        <v>-16.614753246753246</v>
      </c>
      <c r="J23" s="334">
        <f>INDEX(Weekly!G:G,MATCH($F23,Weekly!$E:$E,0))</f>
        <v>23</v>
      </c>
      <c r="K23" s="335">
        <f>INDEX(Weekly!H:H,MATCH($F23,Weekly!$E:$E,0))</f>
        <v>0.54999999999999982</v>
      </c>
      <c r="L23" s="336">
        <f>INDEX(Weekly!I:I,MATCH($F23,Weekly!$E:$E,0))</f>
        <v>2</v>
      </c>
      <c r="M23" s="338">
        <f>INDEX(Prizes!F:F,MATCH($B23,Prizes!A:A,0))</f>
        <v>3.6749999999999994</v>
      </c>
      <c r="N23" s="338">
        <f>INDEX(Weekly!J:J,MATCH($F23,Weekly!$E:$E,0))</f>
        <v>5</v>
      </c>
      <c r="O23" s="338">
        <f>INDEX(Weekly!K:K,MATCH($F23,Weekly!$E:$E,0))</f>
        <v>0</v>
      </c>
      <c r="P23" s="631">
        <f>INDEX(Weekly!M:M,MATCH($F23,Weekly!$E:$E,0))</f>
        <v>8.6749999999999989</v>
      </c>
      <c r="Q23" s="80"/>
      <c r="R23" s="76"/>
      <c r="S23" s="76"/>
      <c r="T23" s="76"/>
      <c r="U23" s="76"/>
      <c r="V23" s="76"/>
      <c r="W23" s="76"/>
      <c r="X23" s="76"/>
      <c r="Y23" s="76"/>
      <c r="Z23" s="76"/>
    </row>
    <row r="24" spans="1:26" ht="14" customHeight="1">
      <c r="A24" s="680"/>
      <c r="B24" s="1" t="str">
        <f t="shared" si="0"/>
        <v>B7</v>
      </c>
      <c r="C24" s="473" t="s">
        <v>257</v>
      </c>
      <c r="D24" s="1">
        <v>7</v>
      </c>
      <c r="E24" s="10" t="s">
        <v>227</v>
      </c>
      <c r="F24" s="4" t="s">
        <v>505</v>
      </c>
      <c r="G24" s="572"/>
      <c r="H24" s="10" t="s">
        <v>227</v>
      </c>
      <c r="I24" s="256">
        <f>INDEX(Weekly!F:F,MATCH($F24,Weekly!$E:$E,0))</f>
        <v>-23.145454545454541</v>
      </c>
      <c r="J24" s="280">
        <f>INDEX(Weekly!G:G,MATCH($F24,Weekly!$E:$E,0))</f>
        <v>14</v>
      </c>
      <c r="K24" s="127">
        <f>INDEX(Weekly!H:H,MATCH($F24,Weekly!$E:$E,0))</f>
        <v>-3.5</v>
      </c>
      <c r="L24" s="285">
        <f>INDEX(Weekly!I:I,MATCH($F24,Weekly!$E:$E,0))</f>
        <v>1</v>
      </c>
      <c r="M24" s="261">
        <f>INDEX(Prizes!F:F,MATCH($B24,Prizes!A:A,0))</f>
        <v>0</v>
      </c>
      <c r="N24" s="459">
        <f>INDEX(Weekly!J:J,MATCH($F24,Weekly!$E:$E,0))</f>
        <v>15</v>
      </c>
      <c r="O24" s="261">
        <f>INDEX(Weekly!K:K,MATCH($F24,Weekly!$E:$E,0))</f>
        <v>0</v>
      </c>
      <c r="P24" s="628">
        <f>INDEX(Weekly!M:M,MATCH($F24,Weekly!$E:$E,0))</f>
        <v>15</v>
      </c>
      <c r="Q24" s="80"/>
      <c r="R24" s="76"/>
      <c r="S24" s="76"/>
      <c r="T24" s="76"/>
      <c r="U24" s="76"/>
      <c r="V24" s="76"/>
      <c r="W24" s="76"/>
      <c r="X24" s="76"/>
      <c r="Y24" s="76"/>
      <c r="Z24" s="76"/>
    </row>
    <row r="25" spans="1:26" ht="14" customHeight="1">
      <c r="A25" s="680"/>
      <c r="B25" s="1" t="str">
        <f t="shared" si="0"/>
        <v>B8</v>
      </c>
      <c r="C25" s="473" t="s">
        <v>257</v>
      </c>
      <c r="D25" s="1">
        <v>8</v>
      </c>
      <c r="E25" s="10" t="s">
        <v>227</v>
      </c>
      <c r="F25" s="4" t="s">
        <v>304</v>
      </c>
      <c r="G25" s="572"/>
      <c r="H25" s="10" t="s">
        <v>227</v>
      </c>
      <c r="I25" s="257">
        <f>INDEX(Weekly!F:F,MATCH($F25,Weekly!$E:$E,0))</f>
        <v>-27.917812937062934</v>
      </c>
      <c r="J25" s="281">
        <f>INDEX(Weekly!G:G,MATCH($F25,Weekly!$E:$E,0))</f>
        <v>15</v>
      </c>
      <c r="K25" s="128">
        <f>INDEX(Weekly!H:H,MATCH($F25,Weekly!$E:$E,0))</f>
        <v>14</v>
      </c>
      <c r="L25" s="286">
        <f>INDEX(Weekly!I:I,MATCH($F25,Weekly!$E:$E,0))</f>
        <v>2</v>
      </c>
      <c r="M25" s="261">
        <f>INDEX(Prizes!F:F,MATCH($B25,Prizes!A:A,0))</f>
        <v>0</v>
      </c>
      <c r="N25" s="459">
        <f>INDEX(Weekly!J:J,MATCH($F25,Weekly!$E:$E,0))</f>
        <v>10</v>
      </c>
      <c r="O25" s="261">
        <f>INDEX(Weekly!K:K,MATCH($F25,Weekly!$E:$E,0))</f>
        <v>0</v>
      </c>
      <c r="P25" s="628">
        <f>INDEX(Weekly!M:M,MATCH($F25,Weekly!$E:$E,0))</f>
        <v>10</v>
      </c>
      <c r="Q25" s="80"/>
      <c r="R25" s="76"/>
      <c r="S25" s="76"/>
      <c r="T25" s="76"/>
      <c r="U25" s="76"/>
      <c r="V25" s="76"/>
      <c r="W25" s="76"/>
      <c r="X25" s="76"/>
      <c r="Y25" s="76"/>
      <c r="Z25" s="76"/>
    </row>
    <row r="26" spans="1:26" ht="14" customHeight="1">
      <c r="A26" s="680"/>
      <c r="B26" s="1" t="str">
        <f t="shared" si="0"/>
        <v>B9</v>
      </c>
      <c r="C26" s="269" t="s">
        <v>257</v>
      </c>
      <c r="D26" s="10">
        <v>9</v>
      </c>
      <c r="E26" s="10" t="s">
        <v>227</v>
      </c>
      <c r="F26" s="4" t="s">
        <v>289</v>
      </c>
      <c r="G26" s="572"/>
      <c r="H26" s="10" t="s">
        <v>227</v>
      </c>
      <c r="I26" s="256">
        <f>INDEX(Weekly!F:F,MATCH($F26,Weekly!$E:$E,0))</f>
        <v>-29.552954545454547</v>
      </c>
      <c r="J26" s="280">
        <f>INDEX(Weekly!G:G,MATCH($F26,Weekly!$E:$E,0))</f>
        <v>14</v>
      </c>
      <c r="K26" s="127">
        <f>INDEX(Weekly!H:H,MATCH($F26,Weekly!$E:$E,0))</f>
        <v>-3.6</v>
      </c>
      <c r="L26" s="285">
        <f>INDEX(Weekly!I:I,MATCH($F26,Weekly!$E:$E,0))</f>
        <v>1</v>
      </c>
      <c r="M26" s="261">
        <f>INDEX(Prizes!F:F,MATCH($B26,Prizes!A:A,0))</f>
        <v>0</v>
      </c>
      <c r="N26" s="459">
        <f>INDEX(Weekly!J:J,MATCH($F26,Weekly!$E:$E,0))</f>
        <v>5</v>
      </c>
      <c r="O26" s="261">
        <f>INDEX(Weekly!K:K,MATCH($F26,Weekly!$E:$E,0))</f>
        <v>0</v>
      </c>
      <c r="P26" s="632">
        <f>INDEX(Weekly!M:M,MATCH($F26,Weekly!$E:$E,0))</f>
        <v>5</v>
      </c>
      <c r="Q26" s="80"/>
      <c r="R26" s="76"/>
      <c r="S26" s="76"/>
      <c r="T26" s="76"/>
      <c r="U26" s="76"/>
      <c r="V26" s="76"/>
      <c r="W26" s="76"/>
      <c r="X26" s="76"/>
      <c r="Y26" s="76"/>
      <c r="Z26" s="76"/>
    </row>
    <row r="27" spans="1:26" ht="14" customHeight="1">
      <c r="A27" s="680"/>
      <c r="B27" s="1" t="str">
        <f t="shared" si="0"/>
        <v>B10</v>
      </c>
      <c r="C27" s="269" t="s">
        <v>257</v>
      </c>
      <c r="D27" s="1">
        <v>10</v>
      </c>
      <c r="E27" s="10" t="s">
        <v>227</v>
      </c>
      <c r="F27" s="14" t="s">
        <v>307</v>
      </c>
      <c r="G27" s="572"/>
      <c r="H27" s="10" t="s">
        <v>227</v>
      </c>
      <c r="I27" s="256">
        <f>INDEX(Weekly!F:F,MATCH($F27,Weekly!$E:$E,0))</f>
        <v>-32.587728332273784</v>
      </c>
      <c r="J27" s="280">
        <f>INDEX(Weekly!G:G,MATCH($F27,Weekly!$E:$E,0))</f>
        <v>23</v>
      </c>
      <c r="K27" s="127">
        <f>INDEX(Weekly!H:H,MATCH($F27,Weekly!$E:$E,0))</f>
        <v>-1.666666666666667</v>
      </c>
      <c r="L27" s="285">
        <f>INDEX(Weekly!I:I,MATCH($F27,Weekly!$E:$E,0))</f>
        <v>2</v>
      </c>
      <c r="M27" s="261">
        <f>INDEX(Prizes!F:F,MATCH($B27,Prizes!A:A,0))</f>
        <v>0</v>
      </c>
      <c r="N27" s="459">
        <f>INDEX(Weekly!J:J,MATCH($F27,Weekly!$E:$E,0))</f>
        <v>0</v>
      </c>
      <c r="O27" s="261">
        <f>INDEX(Weekly!K:K,MATCH($F27,Weekly!$E:$E,0))</f>
        <v>0</v>
      </c>
      <c r="P27" s="628">
        <f>INDEX(Weekly!M:M,MATCH($F27,Weekly!$E:$E,0))</f>
        <v>0</v>
      </c>
      <c r="Q27" s="80"/>
      <c r="R27" s="76"/>
      <c r="S27" s="76"/>
      <c r="T27" s="76"/>
      <c r="U27" s="76"/>
      <c r="V27" s="76"/>
      <c r="W27" s="76"/>
      <c r="X27" s="76"/>
      <c r="Y27" s="76"/>
      <c r="Z27" s="76"/>
    </row>
    <row r="28" spans="1:26" ht="14" customHeight="1">
      <c r="A28" s="680"/>
      <c r="B28" s="10" t="str">
        <f t="shared" si="0"/>
        <v>B11</v>
      </c>
      <c r="C28" s="254" t="s">
        <v>258</v>
      </c>
      <c r="D28" s="347">
        <v>11</v>
      </c>
      <c r="E28" s="568" t="s">
        <v>227</v>
      </c>
      <c r="F28" s="339" t="s">
        <v>366</v>
      </c>
      <c r="G28" s="573"/>
      <c r="H28" s="568" t="s">
        <v>227</v>
      </c>
      <c r="I28" s="340">
        <f>INDEX(Weekly!F:F,MATCH($F28,Weekly!$E:$E,0))</f>
        <v>-37.09031385281385</v>
      </c>
      <c r="J28" s="341">
        <f>INDEX(Weekly!G:G,MATCH($F28,Weekly!$E:$E,0))</f>
        <v>16</v>
      </c>
      <c r="K28" s="342">
        <f>INDEX(Weekly!H:H,MATCH($F28,Weekly!$E:$E,0))</f>
        <v>-7</v>
      </c>
      <c r="L28" s="343">
        <f>INDEX(Weekly!I:I,MATCH($F28,Weekly!$E:$E,0))</f>
        <v>0</v>
      </c>
      <c r="M28" s="344">
        <f>INDEX(Prizes!F:F,MATCH($B28,Prizes!A:A,0))</f>
        <v>0</v>
      </c>
      <c r="N28" s="345">
        <f>INDEX(Weekly!J:J,MATCH($F28,Weekly!$E:$E,0))</f>
        <v>5</v>
      </c>
      <c r="O28" s="344">
        <f>INDEX(Weekly!K:K,MATCH($F28,Weekly!$E:$E,0))</f>
        <v>0</v>
      </c>
      <c r="P28" s="629">
        <f>INDEX(Weekly!M:M,MATCH($F28,Weekly!$E:$E,0))</f>
        <v>5</v>
      </c>
      <c r="Q28" s="80"/>
      <c r="R28" s="76"/>
      <c r="S28" s="76"/>
      <c r="T28" s="76"/>
      <c r="U28" s="76"/>
      <c r="V28" s="76"/>
      <c r="W28" s="76"/>
      <c r="X28" s="76"/>
      <c r="Y28" s="76"/>
      <c r="Z28" s="76"/>
    </row>
    <row r="29" spans="1:26" ht="14" customHeight="1">
      <c r="A29" s="680"/>
      <c r="B29" s="1" t="str">
        <f t="shared" si="0"/>
        <v>B12</v>
      </c>
      <c r="C29" s="253" t="s">
        <v>258</v>
      </c>
      <c r="D29" s="1">
        <v>12</v>
      </c>
      <c r="E29" s="10" t="s">
        <v>227</v>
      </c>
      <c r="F29" s="4" t="s">
        <v>281</v>
      </c>
      <c r="G29" s="572"/>
      <c r="H29" s="10" t="s">
        <v>227</v>
      </c>
      <c r="I29" s="256">
        <f>INDEX(Weekly!F:F,MATCH($F29,Weekly!$E:$E,0))</f>
        <v>-47.870006475006477</v>
      </c>
      <c r="J29" s="280">
        <f>INDEX(Weekly!G:G,MATCH($F29,Weekly!$E:$E,0))</f>
        <v>17</v>
      </c>
      <c r="K29" s="127">
        <f>INDEX(Weekly!H:H,MATCH($F29,Weekly!$E:$E,0))</f>
        <v>-7</v>
      </c>
      <c r="L29" s="285">
        <f>INDEX(Weekly!I:I,MATCH($F29,Weekly!$E:$E,0))</f>
        <v>0</v>
      </c>
      <c r="M29" s="261">
        <f>INDEX(Prizes!F:F,MATCH($B29,Prizes!A:A,0))</f>
        <v>0</v>
      </c>
      <c r="N29" s="459">
        <f>INDEX(Weekly!J:J,MATCH($F29,Weekly!$E:$E,0))</f>
        <v>0</v>
      </c>
      <c r="O29" s="261">
        <f>INDEX(Weekly!K:K,MATCH($F29,Weekly!$E:$E,0))</f>
        <v>0</v>
      </c>
      <c r="P29" s="628">
        <f>INDEX(Weekly!M:M,MATCH($F29,Weekly!$E:$E,0))</f>
        <v>0</v>
      </c>
      <c r="Q29" s="80"/>
      <c r="R29" s="76"/>
      <c r="S29" s="76"/>
      <c r="T29" s="76"/>
      <c r="U29" s="76"/>
      <c r="V29" s="76"/>
      <c r="W29" s="76"/>
      <c r="X29" s="76"/>
      <c r="Y29" s="76"/>
      <c r="Z29" s="76"/>
    </row>
    <row r="30" spans="1:26" ht="14" customHeight="1">
      <c r="A30" s="680"/>
      <c r="B30" s="1" t="str">
        <f t="shared" si="0"/>
        <v>B13</v>
      </c>
      <c r="C30" s="253" t="s">
        <v>258</v>
      </c>
      <c r="D30" s="1">
        <v>13</v>
      </c>
      <c r="E30" s="10" t="s">
        <v>227</v>
      </c>
      <c r="F30" s="4" t="s">
        <v>527</v>
      </c>
      <c r="G30" s="572"/>
      <c r="H30" s="10" t="s">
        <v>227</v>
      </c>
      <c r="I30" s="257">
        <f>INDEX(Weekly!F:F,MATCH($F30,Weekly!$E:$E,0))</f>
        <v>-51.350201187701181</v>
      </c>
      <c r="J30" s="281">
        <f>INDEX(Weekly!G:G,MATCH($F30,Weekly!$E:$E,0))</f>
        <v>16</v>
      </c>
      <c r="K30" s="128">
        <f>INDEX(Weekly!H:H,MATCH($F30,Weekly!$E:$E,0))</f>
        <v>-7</v>
      </c>
      <c r="L30" s="286">
        <f>INDEX(Weekly!I:I,MATCH($F30,Weekly!$E:$E,0))</f>
        <v>0</v>
      </c>
      <c r="M30" s="261">
        <f>INDEX(Prizes!F:F,MATCH($B30,Prizes!A:A,0))</f>
        <v>0</v>
      </c>
      <c r="N30" s="459">
        <f>INDEX(Weekly!J:J,MATCH($F30,Weekly!$E:$E,0))</f>
        <v>0</v>
      </c>
      <c r="O30" s="261">
        <f>INDEX(Weekly!K:K,MATCH($F30,Weekly!$E:$E,0))</f>
        <v>0</v>
      </c>
      <c r="P30" s="628">
        <f>INDEX(Weekly!M:M,MATCH($F30,Weekly!$E:$E,0))</f>
        <v>0</v>
      </c>
      <c r="Q30" s="80"/>
      <c r="R30" s="76"/>
      <c r="S30" s="76"/>
      <c r="T30" s="76"/>
      <c r="U30" s="76"/>
      <c r="V30" s="76"/>
      <c r="W30" s="76"/>
      <c r="X30" s="76"/>
      <c r="Y30" s="76"/>
      <c r="Z30" s="76"/>
    </row>
    <row r="31" spans="1:26" ht="14" customHeight="1">
      <c r="A31" s="680"/>
      <c r="B31" s="1" t="str">
        <f t="shared" si="0"/>
        <v>B14</v>
      </c>
      <c r="C31" s="253" t="s">
        <v>258</v>
      </c>
      <c r="D31" s="1">
        <v>14</v>
      </c>
      <c r="E31" s="10" t="s">
        <v>227</v>
      </c>
      <c r="F31" s="4" t="s">
        <v>305</v>
      </c>
      <c r="G31" s="572"/>
      <c r="H31" s="10" t="s">
        <v>227</v>
      </c>
      <c r="I31" s="256">
        <f>INDEX(Weekly!F:F,MATCH($F31,Weekly!$E:$E,0))</f>
        <v>-53.876666666666658</v>
      </c>
      <c r="J31" s="280">
        <f>INDEX(Weekly!G:G,MATCH($F31,Weekly!$E:$E,0))</f>
        <v>15</v>
      </c>
      <c r="K31" s="127">
        <f>INDEX(Weekly!H:H,MATCH($F31,Weekly!$E:$E,0))</f>
        <v>-5</v>
      </c>
      <c r="L31" s="285">
        <f>INDEX(Weekly!I:I,MATCH($F31,Weekly!$E:$E,0))</f>
        <v>1</v>
      </c>
      <c r="M31" s="261">
        <f>INDEX(Prizes!F:F,MATCH($B31,Prizes!A:A,0))</f>
        <v>0</v>
      </c>
      <c r="N31" s="459">
        <f>INDEX(Weekly!J:J,MATCH($F31,Weekly!$E:$E,0))</f>
        <v>5</v>
      </c>
      <c r="O31" s="261">
        <f>INDEX(Weekly!K:K,MATCH($F31,Weekly!$E:$E,0))</f>
        <v>0</v>
      </c>
      <c r="P31" s="628">
        <f>INDEX(Weekly!M:M,MATCH($F31,Weekly!$E:$E,0))</f>
        <v>5</v>
      </c>
      <c r="Q31" s="80"/>
      <c r="R31" s="76"/>
      <c r="S31" s="76"/>
      <c r="T31" s="76"/>
      <c r="U31" s="76"/>
      <c r="V31" s="76"/>
      <c r="W31" s="76"/>
      <c r="X31" s="76"/>
      <c r="Y31" s="76"/>
      <c r="Z31" s="76"/>
    </row>
    <row r="32" spans="1:26" ht="14" customHeight="1">
      <c r="A32" s="680"/>
      <c r="B32" s="1" t="str">
        <f t="shared" si="0"/>
        <v>B15</v>
      </c>
      <c r="C32" s="253" t="s">
        <v>258</v>
      </c>
      <c r="D32" s="10">
        <v>15</v>
      </c>
      <c r="E32" s="10" t="s">
        <v>227</v>
      </c>
      <c r="F32" s="4" t="s">
        <v>509</v>
      </c>
      <c r="G32" s="572"/>
      <c r="H32" s="10" t="s">
        <v>227</v>
      </c>
      <c r="I32" s="256">
        <f>INDEX(Weekly!F:F,MATCH($F32,Weekly!$E:$E,0))</f>
        <v>-54.353950216450222</v>
      </c>
      <c r="J32" s="280">
        <f>INDEX(Weekly!G:G,MATCH($F32,Weekly!$E:$E,0))</f>
        <v>17</v>
      </c>
      <c r="K32" s="127">
        <f>INDEX(Weekly!H:H,MATCH($F32,Weekly!$E:$E,0))</f>
        <v>-4.8499999999999996</v>
      </c>
      <c r="L32" s="285">
        <f>INDEX(Weekly!I:I,MATCH($F32,Weekly!$E:$E,0))</f>
        <v>1</v>
      </c>
      <c r="M32" s="261">
        <f>INDEX(Prizes!F:F,MATCH($B32,Prizes!A:A,0))</f>
        <v>0</v>
      </c>
      <c r="N32" s="459">
        <f>INDEX(Weekly!J:J,MATCH($F32,Weekly!$E:$E,0))</f>
        <v>0</v>
      </c>
      <c r="O32" s="261">
        <f>INDEX(Weekly!K:K,MATCH($F32,Weekly!$E:$E,0))</f>
        <v>0</v>
      </c>
      <c r="P32" s="628">
        <f>INDEX(Weekly!M:M,MATCH($F32,Weekly!$E:$E,0))</f>
        <v>0</v>
      </c>
      <c r="Q32" s="80"/>
      <c r="R32" s="76"/>
      <c r="S32" s="76"/>
      <c r="T32" s="76"/>
      <c r="U32" s="76"/>
      <c r="V32" s="76"/>
      <c r="W32" s="76"/>
      <c r="X32" s="76"/>
      <c r="Y32" s="76"/>
      <c r="Z32" s="76"/>
    </row>
    <row r="33" spans="1:26" ht="14" customHeight="1" thickBot="1">
      <c r="A33" s="680"/>
      <c r="B33" s="1" t="str">
        <f t="shared" si="0"/>
        <v>B16</v>
      </c>
      <c r="C33" s="255" t="s">
        <v>258</v>
      </c>
      <c r="D33" s="249">
        <v>16</v>
      </c>
      <c r="E33" s="569" t="s">
        <v>227</v>
      </c>
      <c r="F33" s="250" t="s">
        <v>508</v>
      </c>
      <c r="G33" s="574"/>
      <c r="H33" s="569" t="s">
        <v>227</v>
      </c>
      <c r="I33" s="258">
        <f>INDEX(Weekly!F:F,MATCH($F33,Weekly!$E:$E,0))</f>
        <v>-105</v>
      </c>
      <c r="J33" s="282">
        <f>INDEX(Weekly!G:G,MATCH($F33,Weekly!$E:$E,0))</f>
        <v>0</v>
      </c>
      <c r="K33" s="144">
        <f>INDEX(Weekly!H:H,MATCH($F33,Weekly!$E:$E,0))</f>
        <v>-7</v>
      </c>
      <c r="L33" s="287">
        <f>INDEX(Weekly!I:I,MATCH($F33,Weekly!$E:$E,0))</f>
        <v>0</v>
      </c>
      <c r="M33" s="265">
        <f>INDEX(Prizes!F:F,MATCH($B33,Prizes!A:A,0))</f>
        <v>0</v>
      </c>
      <c r="N33" s="265">
        <f>INDEX(Weekly!J:J,MATCH($F33,Weekly!$E:$E,0))</f>
        <v>0</v>
      </c>
      <c r="O33" s="265">
        <f>INDEX(Weekly!K:K,MATCH($F33,Weekly!$E:$E,0))</f>
        <v>0</v>
      </c>
      <c r="P33" s="633">
        <f>INDEX(Weekly!M:M,MATCH($F33,Weekly!$E:$E,0))</f>
        <v>0</v>
      </c>
      <c r="Q33" s="79" t="s">
        <v>556</v>
      </c>
      <c r="R33" s="76"/>
      <c r="S33" s="76"/>
      <c r="T33" s="76"/>
      <c r="U33" s="76"/>
      <c r="V33" s="76"/>
      <c r="W33" s="76"/>
      <c r="X33" s="76"/>
      <c r="Y33" s="76"/>
      <c r="Z33" s="76"/>
    </row>
    <row r="34" spans="1:26" ht="14" customHeight="1">
      <c r="A34" s="681" t="s">
        <v>220</v>
      </c>
      <c r="B34" s="1" t="str">
        <f t="shared" ref="B34:B51" si="1">CONCATENATE(E34,D34)</f>
        <v>C1</v>
      </c>
      <c r="C34" s="251" t="s">
        <v>259</v>
      </c>
      <c r="D34" s="1">
        <v>1</v>
      </c>
      <c r="E34" s="10" t="s">
        <v>228</v>
      </c>
      <c r="F34" s="4" t="s">
        <v>360</v>
      </c>
      <c r="G34" s="572"/>
      <c r="H34" s="10" t="s">
        <v>228</v>
      </c>
      <c r="I34" s="256">
        <f>INDEX(Weekly!F:F,MATCH($F34,Weekly!$E:$E,0))</f>
        <v>54.895888888888877</v>
      </c>
      <c r="J34" s="280">
        <f>INDEX(Weekly!G:G,MATCH($F34,Weekly!$E:$E,0))</f>
        <v>27</v>
      </c>
      <c r="K34" s="127">
        <f>INDEX(Weekly!H:H,MATCH($F34,Weekly!$E:$E,0))</f>
        <v>-7</v>
      </c>
      <c r="L34" s="285">
        <f>INDEX(Weekly!I:I,MATCH($F34,Weekly!$E:$E,0))</f>
        <v>0</v>
      </c>
      <c r="M34" s="261">
        <f>INDEX(Prizes!F:F,MATCH($B34,Prizes!A:A,0))</f>
        <v>18.375</v>
      </c>
      <c r="N34" s="459">
        <f>INDEX(Weekly!J:J,MATCH($F34,Weekly!$E:$E,0))</f>
        <v>30</v>
      </c>
      <c r="O34" s="261">
        <f>INDEX(Weekly!K:K,MATCH($F34,Weekly!$E:$E,0))</f>
        <v>0</v>
      </c>
      <c r="P34" s="628">
        <f>INDEX(Weekly!M:M,MATCH($F34,Weekly!$E:$E,0))</f>
        <v>48.375</v>
      </c>
      <c r="Q34" s="80"/>
      <c r="R34" s="76"/>
      <c r="S34" s="76"/>
      <c r="T34" s="76"/>
      <c r="U34" s="76"/>
      <c r="V34" s="76"/>
      <c r="W34" s="76"/>
      <c r="X34" s="76"/>
      <c r="Y34" s="76"/>
      <c r="Z34" s="76"/>
    </row>
    <row r="35" spans="1:26" ht="14" customHeight="1">
      <c r="A35" s="682"/>
      <c r="B35" s="1" t="str">
        <f t="shared" si="1"/>
        <v>C2</v>
      </c>
      <c r="C35" s="251" t="s">
        <v>259</v>
      </c>
      <c r="D35" s="1">
        <v>2</v>
      </c>
      <c r="E35" s="10" t="s">
        <v>228</v>
      </c>
      <c r="F35" s="4" t="s">
        <v>358</v>
      </c>
      <c r="G35" s="572"/>
      <c r="H35" s="10" t="s">
        <v>228</v>
      </c>
      <c r="I35" s="256">
        <f>INDEX(Weekly!F:F,MATCH($F35,Weekly!$E:$E,0))</f>
        <v>54.690757575757573</v>
      </c>
      <c r="J35" s="280">
        <f>INDEX(Weekly!G:G,MATCH($F35,Weekly!$E:$E,0))</f>
        <v>17</v>
      </c>
      <c r="K35" s="127">
        <f>INDEX(Weekly!H:H,MATCH($F35,Weekly!$E:$E,0))</f>
        <v>-7</v>
      </c>
      <c r="L35" s="285">
        <f>INDEX(Weekly!I:I,MATCH($F35,Weekly!$E:$E,0))</f>
        <v>0</v>
      </c>
      <c r="M35" s="261">
        <f>INDEX(Prizes!F:F,MATCH($B35,Prizes!A:A,0))</f>
        <v>13.125</v>
      </c>
      <c r="N35" s="459">
        <f>INDEX(Weekly!J:J,MATCH($F35,Weekly!$E:$E,0))</f>
        <v>25</v>
      </c>
      <c r="O35" s="261">
        <f>INDEX(Weekly!K:K,MATCH($F35,Weekly!$E:$E,0))</f>
        <v>0</v>
      </c>
      <c r="P35" s="628">
        <f>INDEX(Weekly!M:M,MATCH($F35,Weekly!$E:$E,0))</f>
        <v>38.125</v>
      </c>
      <c r="Q35" s="80"/>
      <c r="R35" s="76"/>
      <c r="S35" s="76"/>
      <c r="T35" s="76"/>
      <c r="U35" s="76"/>
      <c r="V35" s="76"/>
      <c r="W35" s="76"/>
      <c r="X35" s="76"/>
      <c r="Y35" s="76"/>
      <c r="Z35" s="76"/>
    </row>
    <row r="36" spans="1:26" ht="14" customHeight="1">
      <c r="A36" s="682"/>
      <c r="B36" s="10" t="str">
        <f t="shared" si="1"/>
        <v>C3</v>
      </c>
      <c r="C36" s="252" t="s">
        <v>259</v>
      </c>
      <c r="D36" s="1">
        <v>3</v>
      </c>
      <c r="E36" s="10" t="s">
        <v>228</v>
      </c>
      <c r="F36" s="4" t="s">
        <v>271</v>
      </c>
      <c r="G36" s="572"/>
      <c r="H36" s="10" t="s">
        <v>228</v>
      </c>
      <c r="I36" s="256">
        <f>INDEX(Weekly!F:F,MATCH($F36,Weekly!$E:$E,0))</f>
        <v>14.873041125541125</v>
      </c>
      <c r="J36" s="280">
        <f>INDEX(Weekly!G:G,MATCH($F36,Weekly!$E:$E,0))</f>
        <v>21</v>
      </c>
      <c r="K36" s="127">
        <f>INDEX(Weekly!H:H,MATCH($F36,Weekly!$E:$E,0))</f>
        <v>-7</v>
      </c>
      <c r="L36" s="285">
        <f>INDEX(Weekly!I:I,MATCH($F36,Weekly!$E:$E,0))</f>
        <v>0</v>
      </c>
      <c r="M36" s="261">
        <f>INDEX(Prizes!F:F,MATCH($B36,Prizes!A:A,0))</f>
        <v>9.4499999999999993</v>
      </c>
      <c r="N36" s="459">
        <f>INDEX(Weekly!J:J,MATCH($F36,Weekly!$E:$E,0))</f>
        <v>20</v>
      </c>
      <c r="O36" s="261">
        <f>INDEX(Weekly!K:K,MATCH($F36,Weekly!$E:$E,0))</f>
        <v>0</v>
      </c>
      <c r="P36" s="632">
        <f>INDEX(Weekly!M:M,MATCH($F36,Weekly!$E:$E,0))</f>
        <v>29.45</v>
      </c>
      <c r="Q36" s="80"/>
      <c r="R36" s="76"/>
      <c r="S36" s="76"/>
      <c r="T36" s="76"/>
      <c r="U36" s="76"/>
      <c r="V36" s="76"/>
      <c r="W36" s="76"/>
      <c r="X36" s="76"/>
      <c r="Y36" s="76"/>
      <c r="Z36" s="76"/>
    </row>
    <row r="37" spans="1:26" ht="14" customHeight="1">
      <c r="A37" s="682"/>
      <c r="B37" s="1" t="str">
        <f t="shared" si="1"/>
        <v>C4</v>
      </c>
      <c r="C37" s="251" t="s">
        <v>259</v>
      </c>
      <c r="D37" s="1">
        <v>4</v>
      </c>
      <c r="E37" s="10" t="s">
        <v>228</v>
      </c>
      <c r="F37" s="4" t="s">
        <v>294</v>
      </c>
      <c r="G37" s="4"/>
      <c r="H37" s="10" t="s">
        <v>228</v>
      </c>
      <c r="I37" s="256">
        <f>INDEX(Weekly!F:F,MATCH($F37,Weekly!$E:$E,0))</f>
        <v>7.1079545454545396</v>
      </c>
      <c r="J37" s="280">
        <f>INDEX(Weekly!G:G,MATCH($F37,Weekly!$E:$E,0))</f>
        <v>26</v>
      </c>
      <c r="K37" s="127">
        <f>INDEX(Weekly!H:H,MATCH($F37,Weekly!$E:$E,0))</f>
        <v>-0.63030303030303081</v>
      </c>
      <c r="L37" s="285">
        <f>INDEX(Weekly!I:I,MATCH($F37,Weekly!$E:$E,0))</f>
        <v>2</v>
      </c>
      <c r="M37" s="261">
        <f>INDEX(Prizes!F:F,MATCH($B37,Prizes!A:A,0))</f>
        <v>6.3</v>
      </c>
      <c r="N37" s="459">
        <f>INDEX(Weekly!J:J,MATCH($F37,Weekly!$E:$E,0))</f>
        <v>5</v>
      </c>
      <c r="O37" s="261">
        <f>INDEX(Weekly!K:K,MATCH($F37,Weekly!$E:$E,0))</f>
        <v>0</v>
      </c>
      <c r="P37" s="628">
        <f>INDEX(Weekly!M:M,MATCH($F37,Weekly!$E:$E,0))</f>
        <v>11.3</v>
      </c>
      <c r="Q37" s="80"/>
      <c r="R37" s="76"/>
      <c r="S37" s="76"/>
      <c r="T37" s="76"/>
      <c r="U37" s="76"/>
      <c r="V37" s="76"/>
      <c r="W37" s="76"/>
      <c r="X37" s="76"/>
      <c r="Y37" s="76"/>
      <c r="Z37" s="76"/>
    </row>
    <row r="38" spans="1:26" ht="14" customHeight="1">
      <c r="A38" s="682"/>
      <c r="B38" s="1" t="str">
        <f t="shared" si="1"/>
        <v>C5</v>
      </c>
      <c r="C38" s="251" t="s">
        <v>259</v>
      </c>
      <c r="D38" s="1">
        <v>5</v>
      </c>
      <c r="E38" s="10" t="s">
        <v>228</v>
      </c>
      <c r="F38" s="4" t="s">
        <v>314</v>
      </c>
      <c r="G38" s="572"/>
      <c r="H38" s="10" t="s">
        <v>228</v>
      </c>
      <c r="I38" s="256">
        <f>INDEX(Weekly!F:F,MATCH($F38,Weekly!$E:$E,0))</f>
        <v>-4.710988095238096</v>
      </c>
      <c r="J38" s="280">
        <f>INDEX(Weekly!G:G,MATCH($F38,Weekly!$E:$E,0))</f>
        <v>18</v>
      </c>
      <c r="K38" s="127">
        <f>INDEX(Weekly!H:H,MATCH($F38,Weekly!$E:$E,0))</f>
        <v>-5</v>
      </c>
      <c r="L38" s="285">
        <f>INDEX(Weekly!I:I,MATCH($F38,Weekly!$E:$E,0))</f>
        <v>1</v>
      </c>
      <c r="M38" s="261">
        <f>INDEX(Prizes!F:F,MATCH($B38,Prizes!A:A,0))</f>
        <v>3.6749999999999998</v>
      </c>
      <c r="N38" s="459">
        <f>INDEX(Weekly!J:J,MATCH($F38,Weekly!$E:$E,0))</f>
        <v>15</v>
      </c>
      <c r="O38" s="261">
        <f>INDEX(Weekly!K:K,MATCH($F38,Weekly!$E:$E,0))</f>
        <v>0</v>
      </c>
      <c r="P38" s="628">
        <f>INDEX(Weekly!M:M,MATCH($F38,Weekly!$E:$E,0))</f>
        <v>18.675000000000001</v>
      </c>
      <c r="Q38" s="80"/>
      <c r="R38" s="76"/>
      <c r="S38" s="76"/>
      <c r="T38" s="76"/>
      <c r="U38" s="76"/>
      <c r="V38" s="76"/>
      <c r="W38" s="76"/>
      <c r="X38" s="76"/>
      <c r="Y38" s="76"/>
      <c r="Z38" s="76"/>
    </row>
    <row r="39" spans="1:26" ht="14" customHeight="1">
      <c r="A39" s="682"/>
      <c r="B39" s="1" t="str">
        <f t="shared" si="1"/>
        <v>C6</v>
      </c>
      <c r="C39" s="348" t="s">
        <v>259</v>
      </c>
      <c r="D39" s="349">
        <v>6</v>
      </c>
      <c r="E39" s="570" t="s">
        <v>228</v>
      </c>
      <c r="F39" s="332" t="s">
        <v>291</v>
      </c>
      <c r="G39" s="332"/>
      <c r="H39" s="570" t="s">
        <v>228</v>
      </c>
      <c r="I39" s="333">
        <f>INDEX(Weekly!F:F,MATCH($F39,Weekly!$E:$E,0))</f>
        <v>-12.740821678321671</v>
      </c>
      <c r="J39" s="334">
        <f>INDEX(Weekly!G:G,MATCH($F39,Weekly!$E:$E,0))</f>
        <v>19</v>
      </c>
      <c r="K39" s="335">
        <f>INDEX(Weekly!H:H,MATCH($F39,Weekly!$E:$E,0))</f>
        <v>-5.15</v>
      </c>
      <c r="L39" s="336">
        <f>INDEX(Weekly!I:I,MATCH($F39,Weekly!$E:$E,0))</f>
        <v>1</v>
      </c>
      <c r="M39" s="337">
        <f>INDEX(Prizes!F:F,MATCH($B39,Prizes!A:A,0))</f>
        <v>1.575</v>
      </c>
      <c r="N39" s="338">
        <f>INDEX(Weekly!J:J,MATCH($F39,Weekly!$E:$E,0))</f>
        <v>10</v>
      </c>
      <c r="O39" s="337">
        <f>INDEX(Weekly!K:K,MATCH($F39,Weekly!$E:$E,0))</f>
        <v>0</v>
      </c>
      <c r="P39" s="631">
        <f>INDEX(Weekly!M:M,MATCH($F39,Weekly!$E:$E,0))</f>
        <v>11.574999999999999</v>
      </c>
      <c r="Q39" s="80"/>
      <c r="R39" s="76"/>
      <c r="S39" s="76"/>
      <c r="T39" s="76"/>
      <c r="U39" s="76"/>
      <c r="V39" s="76"/>
      <c r="W39" s="76"/>
      <c r="X39" s="76"/>
      <c r="Y39" s="76"/>
      <c r="Z39" s="76"/>
    </row>
    <row r="40" spans="1:26" ht="14" customHeight="1">
      <c r="A40" s="682"/>
      <c r="B40" s="1" t="str">
        <f t="shared" si="1"/>
        <v>C7</v>
      </c>
      <c r="C40" s="269" t="s">
        <v>257</v>
      </c>
      <c r="D40" s="10">
        <v>7</v>
      </c>
      <c r="E40" s="10" t="s">
        <v>228</v>
      </c>
      <c r="F40" s="4" t="s">
        <v>435</v>
      </c>
      <c r="G40" s="572"/>
      <c r="H40" s="10" t="s">
        <v>228</v>
      </c>
      <c r="I40" s="256">
        <f>INDEX(Weekly!F:F,MATCH($F40,Weekly!$E:$E,0))</f>
        <v>-13.014666375291375</v>
      </c>
      <c r="J40" s="280">
        <f>INDEX(Weekly!G:G,MATCH($F40,Weekly!$E:$E,0))</f>
        <v>20</v>
      </c>
      <c r="K40" s="127">
        <f>INDEX(Weekly!H:H,MATCH($F40,Weekly!$E:$E,0))</f>
        <v>-4.9000000000000004</v>
      </c>
      <c r="L40" s="285">
        <f>INDEX(Weekly!I:I,MATCH($F40,Weekly!$E:$E,0))</f>
        <v>1</v>
      </c>
      <c r="M40" s="261">
        <f>INDEX(Prizes!F:F,MATCH($B40,Prizes!A:A,0))</f>
        <v>0</v>
      </c>
      <c r="N40" s="459">
        <f>INDEX(Weekly!J:J,MATCH($F40,Weekly!$E:$E,0))</f>
        <v>10</v>
      </c>
      <c r="O40" s="261">
        <f>INDEX(Weekly!K:K,MATCH($F40,Weekly!$E:$E,0))</f>
        <v>0</v>
      </c>
      <c r="P40" s="628">
        <f>INDEX(Weekly!M:M,MATCH($F40,Weekly!$E:$E,0))</f>
        <v>10</v>
      </c>
      <c r="Q40" s="80"/>
      <c r="R40" s="76"/>
      <c r="S40" s="76"/>
      <c r="T40" s="76"/>
      <c r="U40" s="76"/>
      <c r="V40" s="76"/>
      <c r="W40" s="76"/>
      <c r="X40" s="76"/>
      <c r="Y40" s="76"/>
      <c r="Z40" s="76"/>
    </row>
    <row r="41" spans="1:26" ht="14" customHeight="1">
      <c r="A41" s="682"/>
      <c r="B41" s="1" t="str">
        <f t="shared" si="1"/>
        <v>C8</v>
      </c>
      <c r="C41" s="269" t="s">
        <v>257</v>
      </c>
      <c r="D41" s="1">
        <v>8</v>
      </c>
      <c r="E41" s="10" t="s">
        <v>228</v>
      </c>
      <c r="F41" s="4" t="s">
        <v>365</v>
      </c>
      <c r="G41" s="572"/>
      <c r="H41" s="10" t="s">
        <v>228</v>
      </c>
      <c r="I41" s="256">
        <f>INDEX(Weekly!F:F,MATCH($F41,Weekly!$E:$E,0))</f>
        <v>-20.856522727272729</v>
      </c>
      <c r="J41" s="280">
        <f>INDEX(Weekly!G:G,MATCH($F41,Weekly!$E:$E,0))</f>
        <v>21</v>
      </c>
      <c r="K41" s="127">
        <f>INDEX(Weekly!H:H,MATCH($F41,Weekly!$E:$E,0))</f>
        <v>12.139999999999997</v>
      </c>
      <c r="L41" s="285">
        <f>INDEX(Weekly!I:I,MATCH($F41,Weekly!$E:$E,0))</f>
        <v>3</v>
      </c>
      <c r="M41" s="261">
        <f>INDEX(Prizes!F:F,MATCH($B41,Prizes!A:A,0))</f>
        <v>0</v>
      </c>
      <c r="N41" s="459">
        <f>INDEX(Weekly!J:J,MATCH($F41,Weekly!$E:$E,0))</f>
        <v>15</v>
      </c>
      <c r="O41" s="261">
        <f>INDEX(Weekly!K:K,MATCH($F41,Weekly!$E:$E,0))</f>
        <v>0</v>
      </c>
      <c r="P41" s="628">
        <f>INDEX(Weekly!M:M,MATCH($F41,Weekly!$E:$E,0))</f>
        <v>15</v>
      </c>
      <c r="Q41" s="80"/>
      <c r="R41" s="76"/>
      <c r="S41" s="76"/>
      <c r="T41" s="76"/>
      <c r="U41" s="76"/>
      <c r="V41" s="76"/>
      <c r="W41" s="76"/>
      <c r="X41" s="76"/>
      <c r="Y41" s="76"/>
      <c r="Z41" s="76"/>
    </row>
    <row r="42" spans="1:26" ht="14" customHeight="1">
      <c r="A42" s="682"/>
      <c r="B42" s="1" t="str">
        <f t="shared" si="1"/>
        <v>C9</v>
      </c>
      <c r="C42" s="474" t="s">
        <v>257</v>
      </c>
      <c r="D42" s="1">
        <v>9</v>
      </c>
      <c r="E42" s="10" t="s">
        <v>228</v>
      </c>
      <c r="F42" s="4" t="s">
        <v>292</v>
      </c>
      <c r="G42" s="572"/>
      <c r="H42" s="10" t="s">
        <v>228</v>
      </c>
      <c r="I42" s="256">
        <f>INDEX(Weekly!F:F,MATCH($F42,Weekly!$E:$E,0))</f>
        <v>-24.773811188811187</v>
      </c>
      <c r="J42" s="280">
        <f>INDEX(Weekly!G:G,MATCH($F42,Weekly!$E:$E,0))</f>
        <v>18</v>
      </c>
      <c r="K42" s="127">
        <f>INDEX(Weekly!H:H,MATCH($F42,Weekly!$E:$E,0))</f>
        <v>7.5</v>
      </c>
      <c r="L42" s="285">
        <f>INDEX(Weekly!I:I,MATCH($F42,Weekly!$E:$E,0))</f>
        <v>2</v>
      </c>
      <c r="M42" s="261">
        <f>INDEX(Prizes!F:F,MATCH($B42,Prizes!A:A,0))</f>
        <v>0</v>
      </c>
      <c r="N42" s="459">
        <f>INDEX(Weekly!J:J,MATCH($F42,Weekly!$E:$E,0))</f>
        <v>5</v>
      </c>
      <c r="O42" s="261">
        <f>INDEX(Weekly!K:K,MATCH($F42,Weekly!$E:$E,0))</f>
        <v>0</v>
      </c>
      <c r="P42" s="628">
        <f>INDEX(Weekly!M:M,MATCH($F42,Weekly!$E:$E,0))</f>
        <v>5</v>
      </c>
      <c r="Q42" s="80"/>
      <c r="R42" s="76"/>
      <c r="S42" s="76"/>
      <c r="T42" s="76"/>
      <c r="U42" s="76"/>
      <c r="V42" s="76"/>
      <c r="W42" s="76"/>
      <c r="X42" s="76"/>
      <c r="Y42" s="76"/>
      <c r="Z42" s="76"/>
    </row>
    <row r="43" spans="1:26" ht="14" customHeight="1">
      <c r="A43" s="682"/>
      <c r="B43" s="1" t="str">
        <f t="shared" si="1"/>
        <v>C10</v>
      </c>
      <c r="C43" s="474" t="s">
        <v>257</v>
      </c>
      <c r="D43" s="1">
        <v>10</v>
      </c>
      <c r="E43" s="10" t="s">
        <v>228</v>
      </c>
      <c r="F43" s="4" t="s">
        <v>297</v>
      </c>
      <c r="G43" s="572"/>
      <c r="H43" s="10" t="s">
        <v>228</v>
      </c>
      <c r="I43" s="256">
        <f>INDEX(Weekly!F:F,MATCH($F43,Weekly!$E:$E,0))</f>
        <v>-40.105454545454542</v>
      </c>
      <c r="J43" s="280">
        <f>INDEX(Weekly!G:G,MATCH($F43,Weekly!$E:$E,0))</f>
        <v>15</v>
      </c>
      <c r="K43" s="127">
        <f>INDEX(Weekly!H:H,MATCH($F43,Weekly!$E:$E,0))</f>
        <v>-3.6</v>
      </c>
      <c r="L43" s="285">
        <f>INDEX(Weekly!I:I,MATCH($F43,Weekly!$E:$E,0))</f>
        <v>1</v>
      </c>
      <c r="M43" s="261">
        <f>INDEX(Prizes!F:F,MATCH($B43,Prizes!A:A,0))</f>
        <v>0</v>
      </c>
      <c r="N43" s="459">
        <f>INDEX(Weekly!J:J,MATCH($F43,Weekly!$E:$E,0))</f>
        <v>5</v>
      </c>
      <c r="O43" s="261">
        <f>INDEX(Weekly!K:K,MATCH($F43,Weekly!$E:$E,0))</f>
        <v>0</v>
      </c>
      <c r="P43" s="628">
        <f>INDEX(Weekly!M:M,MATCH($F43,Weekly!$E:$E,0))</f>
        <v>5</v>
      </c>
      <c r="Q43" s="80"/>
      <c r="R43" s="76"/>
      <c r="S43" s="76"/>
      <c r="T43" s="76"/>
      <c r="U43" s="76"/>
      <c r="V43" s="76"/>
      <c r="W43" s="76"/>
      <c r="X43" s="76"/>
      <c r="Y43" s="76"/>
      <c r="Z43" s="76"/>
    </row>
    <row r="44" spans="1:26" ht="14" customHeight="1">
      <c r="A44" s="682"/>
      <c r="B44" s="1" t="str">
        <f t="shared" si="1"/>
        <v>C11</v>
      </c>
      <c r="C44" s="266" t="s">
        <v>514</v>
      </c>
      <c r="D44" s="347">
        <v>11</v>
      </c>
      <c r="E44" s="568" t="s">
        <v>228</v>
      </c>
      <c r="F44" s="672" t="s">
        <v>299</v>
      </c>
      <c r="G44" s="573"/>
      <c r="H44" s="568" t="s">
        <v>228</v>
      </c>
      <c r="I44" s="340">
        <f>INDEX(Weekly!F:F,MATCH($F44,Weekly!$E:$E,0))</f>
        <v>-46.640795454545454</v>
      </c>
      <c r="J44" s="341">
        <f>INDEX(Weekly!G:G,MATCH($F44,Weekly!$E:$E,0))</f>
        <v>14</v>
      </c>
      <c r="K44" s="342">
        <f>INDEX(Weekly!H:H,MATCH($F44,Weekly!$E:$E,0))</f>
        <v>-4.8499999999999996</v>
      </c>
      <c r="L44" s="343">
        <f>INDEX(Weekly!I:I,MATCH($F44,Weekly!$E:$E,0))</f>
        <v>1</v>
      </c>
      <c r="M44" s="344">
        <f>INDEX(Prizes!F:F,MATCH($B44,Prizes!A:A,0))</f>
        <v>0</v>
      </c>
      <c r="N44" s="345">
        <f>INDEX(Weekly!J:J,MATCH($F44,Weekly!$E:$E,0))</f>
        <v>0</v>
      </c>
      <c r="O44" s="344">
        <f>INDEX(Weekly!K:K,MATCH($F44,Weekly!$E:$E,0))</f>
        <v>0</v>
      </c>
      <c r="P44" s="629">
        <f>INDEX(Weekly!M:M,MATCH($F44,Weekly!$E:$E,0))</f>
        <v>0</v>
      </c>
      <c r="Q44" s="80"/>
      <c r="R44" s="76"/>
      <c r="S44" s="76"/>
      <c r="T44" s="76"/>
      <c r="U44" s="76"/>
      <c r="V44" s="76"/>
      <c r="W44" s="76"/>
      <c r="X44" s="76"/>
      <c r="Y44" s="76"/>
      <c r="Z44" s="76"/>
    </row>
    <row r="45" spans="1:26" ht="14" customHeight="1">
      <c r="A45" s="682"/>
      <c r="B45" s="1" t="str">
        <f t="shared" si="1"/>
        <v>C12</v>
      </c>
      <c r="C45" s="266" t="s">
        <v>514</v>
      </c>
      <c r="D45" s="1">
        <v>12</v>
      </c>
      <c r="E45" s="10" t="s">
        <v>228</v>
      </c>
      <c r="F45" s="4" t="s">
        <v>364</v>
      </c>
      <c r="G45" s="572"/>
      <c r="H45" s="10" t="s">
        <v>228</v>
      </c>
      <c r="I45" s="256">
        <f>INDEX(Weekly!F:F,MATCH($F45,Weekly!$E:$E,0))</f>
        <v>-55.288611111111109</v>
      </c>
      <c r="J45" s="280">
        <f>INDEX(Weekly!G:G,MATCH($F45,Weekly!$E:$E,0))</f>
        <v>8</v>
      </c>
      <c r="K45" s="127">
        <f>INDEX(Weekly!H:H,MATCH($F45,Weekly!$E:$E,0))</f>
        <v>-7</v>
      </c>
      <c r="L45" s="285">
        <f>INDEX(Weekly!I:I,MATCH($F45,Weekly!$E:$E,0))</f>
        <v>0</v>
      </c>
      <c r="M45" s="261">
        <f>INDEX(Prizes!F:F,MATCH($B45,Prizes!A:A,0))</f>
        <v>0</v>
      </c>
      <c r="N45" s="459">
        <f>INDEX(Weekly!J:J,MATCH($F45,Weekly!$E:$E,0))</f>
        <v>5</v>
      </c>
      <c r="O45" s="261">
        <f>INDEX(Weekly!K:K,MATCH($F45,Weekly!$E:$E,0))</f>
        <v>0</v>
      </c>
      <c r="P45" s="628">
        <f>INDEX(Weekly!M:M,MATCH($F45,Weekly!$E:$E,0))</f>
        <v>5</v>
      </c>
      <c r="Q45" s="80"/>
      <c r="R45" s="76"/>
      <c r="S45" s="76"/>
      <c r="T45" s="76"/>
      <c r="U45" s="76"/>
      <c r="V45" s="76"/>
      <c r="W45" s="76"/>
      <c r="X45" s="76"/>
      <c r="Y45" s="76"/>
      <c r="Z45" s="76"/>
    </row>
    <row r="46" spans="1:26" ht="14" customHeight="1">
      <c r="A46" s="682"/>
      <c r="B46" s="1" t="str">
        <f t="shared" si="1"/>
        <v>C13</v>
      </c>
      <c r="C46" s="266" t="s">
        <v>514</v>
      </c>
      <c r="D46" s="1">
        <v>13</v>
      </c>
      <c r="E46" s="10" t="s">
        <v>228</v>
      </c>
      <c r="F46" s="4" t="s">
        <v>288</v>
      </c>
      <c r="G46" s="572"/>
      <c r="H46" s="10" t="s">
        <v>228</v>
      </c>
      <c r="I46" s="257">
        <f>INDEX(Weekly!F:F,MATCH($F46,Weekly!$E:$E,0))</f>
        <v>-56.95</v>
      </c>
      <c r="J46" s="281">
        <f>INDEX(Weekly!G:G,MATCH($F46,Weekly!$E:$E,0))</f>
        <v>10</v>
      </c>
      <c r="K46" s="128">
        <f>INDEX(Weekly!H:H,MATCH($F46,Weekly!$E:$E,0))</f>
        <v>14</v>
      </c>
      <c r="L46" s="286">
        <f>INDEX(Weekly!I:I,MATCH($F46,Weekly!$E:$E,0))</f>
        <v>2</v>
      </c>
      <c r="M46" s="459">
        <f>INDEX(Prizes!F:F,MATCH($B46,Prizes!A:A,0))</f>
        <v>0</v>
      </c>
      <c r="N46" s="459">
        <f>INDEX(Weekly!J:J,MATCH($F46,Weekly!$E:$E,0))</f>
        <v>5</v>
      </c>
      <c r="O46" s="459">
        <f>INDEX(Weekly!K:K,MATCH($F46,Weekly!$E:$E,0))</f>
        <v>0</v>
      </c>
      <c r="P46" s="628">
        <f>INDEX(Weekly!M:M,MATCH($F46,Weekly!$E:$E,0))</f>
        <v>5</v>
      </c>
      <c r="Q46" s="80"/>
      <c r="R46" s="76"/>
      <c r="S46" s="76"/>
      <c r="T46" s="76"/>
      <c r="U46" s="76"/>
      <c r="V46" s="76"/>
      <c r="W46" s="76"/>
      <c r="X46" s="76"/>
      <c r="Y46" s="76"/>
      <c r="Z46" s="76"/>
    </row>
    <row r="47" spans="1:26" ht="14" customHeight="1">
      <c r="A47" s="682"/>
      <c r="B47" s="1" t="str">
        <f t="shared" si="1"/>
        <v>C14</v>
      </c>
      <c r="C47" s="266" t="s">
        <v>514</v>
      </c>
      <c r="D47" s="1">
        <v>14</v>
      </c>
      <c r="E47" s="10" t="s">
        <v>228</v>
      </c>
      <c r="F47" s="4" t="s">
        <v>368</v>
      </c>
      <c r="G47" s="572"/>
      <c r="H47" s="10" t="s">
        <v>228</v>
      </c>
      <c r="I47" s="256">
        <f>INDEX(Weekly!F:F,MATCH($F47,Weekly!$E:$E,0))</f>
        <v>-75.3</v>
      </c>
      <c r="J47" s="280">
        <f>INDEX(Weekly!G:G,MATCH($F47,Weekly!$E:$E,0))</f>
        <v>6</v>
      </c>
      <c r="K47" s="127">
        <f>INDEX(Weekly!H:H,MATCH($F47,Weekly!$E:$E,0))</f>
        <v>-7</v>
      </c>
      <c r="L47" s="285">
        <f>INDEX(Weekly!I:I,MATCH($F47,Weekly!$E:$E,0))</f>
        <v>0</v>
      </c>
      <c r="M47" s="261">
        <f>INDEX(Prizes!F:F,MATCH($B47,Prizes!A:A,0))</f>
        <v>0</v>
      </c>
      <c r="N47" s="459">
        <f>INDEX(Weekly!J:J,MATCH($F47,Weekly!$E:$E,0))</f>
        <v>0</v>
      </c>
      <c r="O47" s="261">
        <f>INDEX(Weekly!K:K,MATCH($F47,Weekly!$E:$E,0))</f>
        <v>0</v>
      </c>
      <c r="P47" s="632">
        <f>INDEX(Weekly!M:M,MATCH($F47,Weekly!$E:$E,0))</f>
        <v>0</v>
      </c>
      <c r="Q47" s="80"/>
      <c r="R47" s="76"/>
      <c r="S47" s="76"/>
      <c r="T47" s="76"/>
      <c r="U47" s="76"/>
      <c r="V47" s="76"/>
      <c r="W47" s="76"/>
      <c r="X47" s="76"/>
      <c r="Y47" s="76"/>
      <c r="Z47" s="76"/>
    </row>
    <row r="48" spans="1:26" ht="14" customHeight="1">
      <c r="A48" s="682"/>
      <c r="B48" s="1" t="str">
        <f t="shared" si="1"/>
        <v>C15</v>
      </c>
      <c r="C48" s="266" t="s">
        <v>514</v>
      </c>
      <c r="D48" s="10">
        <v>15</v>
      </c>
      <c r="E48" s="10" t="s">
        <v>228</v>
      </c>
      <c r="F48" s="4" t="s">
        <v>529</v>
      </c>
      <c r="G48" s="572"/>
      <c r="H48" s="10" t="s">
        <v>228</v>
      </c>
      <c r="I48" s="256">
        <f>INDEX(Weekly!F:F,MATCH($F48,Weekly!$E:$E,0))</f>
        <v>-88.735389610389603</v>
      </c>
      <c r="J48" s="280">
        <f>INDEX(Weekly!G:G,MATCH($F48,Weekly!$E:$E,0))</f>
        <v>6</v>
      </c>
      <c r="K48" s="127">
        <f>INDEX(Weekly!H:H,MATCH($F48,Weekly!$E:$E,0))</f>
        <v>-7</v>
      </c>
      <c r="L48" s="285">
        <f>INDEX(Weekly!I:I,MATCH($F48,Weekly!$E:$E,0))</f>
        <v>0</v>
      </c>
      <c r="M48" s="261">
        <f>INDEX(Prizes!F:F,MATCH($B48,Prizes!A:A,0))</f>
        <v>0</v>
      </c>
      <c r="N48" s="459">
        <f>INDEX(Weekly!J:J,MATCH($F48,Weekly!$E:$E,0))</f>
        <v>0</v>
      </c>
      <c r="O48" s="261">
        <f>INDEX(Weekly!K:K,MATCH($F48,Weekly!$E:$E,0))</f>
        <v>0</v>
      </c>
      <c r="P48" s="628">
        <f>INDEX(Weekly!M:M,MATCH($F48,Weekly!$E:$E,0))</f>
        <v>0</v>
      </c>
      <c r="Q48" s="80"/>
      <c r="R48" s="76"/>
      <c r="S48" s="76"/>
      <c r="T48" s="76"/>
      <c r="U48" s="76"/>
      <c r="V48" s="76"/>
      <c r="W48" s="76"/>
      <c r="X48" s="76"/>
      <c r="Y48" s="76"/>
      <c r="Z48" s="76"/>
    </row>
    <row r="49" spans="1:26" ht="14" customHeight="1">
      <c r="A49" s="682"/>
      <c r="B49" s="1" t="str">
        <f t="shared" si="1"/>
        <v>C16</v>
      </c>
      <c r="C49" s="266" t="s">
        <v>514</v>
      </c>
      <c r="D49" s="1">
        <v>16</v>
      </c>
      <c r="E49" s="10" t="s">
        <v>228</v>
      </c>
      <c r="F49" s="4" t="s">
        <v>506</v>
      </c>
      <c r="G49" s="572"/>
      <c r="H49" s="10" t="s">
        <v>228</v>
      </c>
      <c r="I49" s="256">
        <f>INDEX(Weekly!F:F,MATCH($F49,Weekly!$E:$E,0))</f>
        <v>-89.1875</v>
      </c>
      <c r="J49" s="280">
        <f>INDEX(Weekly!G:G,MATCH($F49,Weekly!$E:$E,0))</f>
        <v>3</v>
      </c>
      <c r="K49" s="127">
        <f>INDEX(Weekly!H:H,MATCH($F49,Weekly!$E:$E,0))</f>
        <v>-7</v>
      </c>
      <c r="L49" s="285">
        <f>INDEX(Weekly!I:I,MATCH($F49,Weekly!$E:$E,0))</f>
        <v>0</v>
      </c>
      <c r="M49" s="261">
        <f>INDEX(Prizes!F:F,MATCH($B49,Prizes!A:A,0))</f>
        <v>0</v>
      </c>
      <c r="N49" s="459">
        <f>INDEX(Weekly!J:J,MATCH($F49,Weekly!$E:$E,0))</f>
        <v>0</v>
      </c>
      <c r="O49" s="261">
        <f>INDEX(Weekly!K:K,MATCH($F49,Weekly!$E:$E,0))</f>
        <v>0</v>
      </c>
      <c r="P49" s="632">
        <f>INDEX(Weekly!M:M,MATCH($F49,Weekly!$E:$E,0))</f>
        <v>0</v>
      </c>
      <c r="Q49" s="79" t="s">
        <v>556</v>
      </c>
      <c r="R49" s="76"/>
      <c r="S49" s="76"/>
      <c r="T49" s="76"/>
      <c r="U49" s="76"/>
      <c r="V49" s="76"/>
      <c r="W49" s="76"/>
      <c r="X49" s="76"/>
      <c r="Y49" s="76"/>
      <c r="Z49" s="76"/>
    </row>
    <row r="50" spans="1:26" ht="14" customHeight="1">
      <c r="A50" s="682"/>
      <c r="B50" s="1" t="str">
        <f t="shared" si="1"/>
        <v>C17</v>
      </c>
      <c r="C50" s="253" t="s">
        <v>258</v>
      </c>
      <c r="D50" s="347">
        <v>17</v>
      </c>
      <c r="E50" s="568" t="s">
        <v>228</v>
      </c>
      <c r="F50" s="339" t="s">
        <v>507</v>
      </c>
      <c r="G50" s="573"/>
      <c r="H50" s="568" t="s">
        <v>228</v>
      </c>
      <c r="I50" s="340">
        <f>INDEX(Weekly!F:F,MATCH($F50,Weekly!$E:$E,0))</f>
        <v>-105</v>
      </c>
      <c r="J50" s="341">
        <f>INDEX(Weekly!G:G,MATCH($F50,Weekly!$E:$E,0))</f>
        <v>0</v>
      </c>
      <c r="K50" s="342">
        <f>INDEX(Weekly!H:H,MATCH($F50,Weekly!$E:$E,0))</f>
        <v>-7</v>
      </c>
      <c r="L50" s="343">
        <f>INDEX(Weekly!I:I,MATCH($F50,Weekly!$E:$E,0))</f>
        <v>0</v>
      </c>
      <c r="M50" s="344">
        <f>INDEX(Prizes!F:F,MATCH($B50,Prizes!A:A,0))</f>
        <v>0</v>
      </c>
      <c r="N50" s="345">
        <f>INDEX(Weekly!J:J,MATCH($F50,Weekly!$E:$E,0))</f>
        <v>0</v>
      </c>
      <c r="O50" s="344">
        <f>INDEX(Weekly!K:K,MATCH($F50,Weekly!$E:$E,0))</f>
        <v>0</v>
      </c>
      <c r="P50" s="629">
        <f>INDEX(Weekly!M:M,MATCH($F50,Weekly!$E:$E,0))</f>
        <v>0</v>
      </c>
      <c r="Q50" s="79" t="s">
        <v>556</v>
      </c>
      <c r="R50" s="76"/>
      <c r="S50" s="76"/>
      <c r="T50" s="76"/>
      <c r="U50" s="76"/>
      <c r="V50" s="76"/>
      <c r="W50" s="76"/>
      <c r="X50" s="76"/>
      <c r="Y50" s="76"/>
      <c r="Z50" s="76"/>
    </row>
    <row r="51" spans="1:26" ht="14" customHeight="1">
      <c r="A51" s="682"/>
      <c r="B51" s="1" t="str">
        <f t="shared" si="1"/>
        <v>C18</v>
      </c>
      <c r="C51" s="253" t="s">
        <v>258</v>
      </c>
      <c r="D51" s="1">
        <v>18</v>
      </c>
      <c r="E51" s="10" t="s">
        <v>228</v>
      </c>
      <c r="F51" s="4" t="s">
        <v>515</v>
      </c>
      <c r="G51" s="572"/>
      <c r="H51" s="10" t="s">
        <v>228</v>
      </c>
      <c r="I51" s="256">
        <f>INDEX(Weekly!F:F,MATCH($F51,Weekly!$E:$E,0))</f>
        <v>-105</v>
      </c>
      <c r="J51" s="280">
        <f>INDEX(Weekly!G:G,MATCH($F51,Weekly!$E:$E,0))</f>
        <v>0</v>
      </c>
      <c r="K51" s="127">
        <f>INDEX(Weekly!H:H,MATCH($F51,Weekly!$E:$E,0))</f>
        <v>-7</v>
      </c>
      <c r="L51" s="285">
        <f>INDEX(Weekly!I:I,MATCH($F51,Weekly!$E:$E,0))</f>
        <v>0</v>
      </c>
      <c r="M51" s="261">
        <f>INDEX(Prizes!F:F,MATCH($B51,Prizes!A:A,0))</f>
        <v>0</v>
      </c>
      <c r="N51" s="459">
        <f>INDEX(Weekly!J:J,MATCH($F51,Weekly!$E:$E,0))</f>
        <v>0</v>
      </c>
      <c r="O51" s="261">
        <f>INDEX(Weekly!K:K,MATCH($F51,Weekly!$E:$E,0))</f>
        <v>0</v>
      </c>
      <c r="P51" s="628">
        <f>INDEX(Weekly!M:M,MATCH($F51,Weekly!$E:$E,0))</f>
        <v>0</v>
      </c>
      <c r="Q51" s="79" t="s">
        <v>556</v>
      </c>
      <c r="R51" s="76"/>
      <c r="S51" s="76"/>
      <c r="T51" s="76"/>
      <c r="U51" s="76"/>
      <c r="V51" s="76"/>
      <c r="W51" s="76"/>
      <c r="X51" s="76"/>
      <c r="Y51" s="76"/>
      <c r="Z51" s="76"/>
    </row>
    <row r="52" spans="1:26" ht="14" customHeight="1" thickBot="1">
      <c r="A52" s="643"/>
      <c r="B52" s="403"/>
      <c r="C52" s="268"/>
      <c r="D52" s="249"/>
      <c r="E52" s="569"/>
      <c r="F52" s="250"/>
      <c r="G52" s="574"/>
      <c r="H52" s="569"/>
      <c r="I52" s="258"/>
      <c r="J52" s="282"/>
      <c r="K52" s="144"/>
      <c r="L52" s="287"/>
      <c r="M52" s="264"/>
      <c r="N52" s="265"/>
      <c r="O52" s="264"/>
      <c r="P52" s="633"/>
    </row>
    <row r="53" spans="1:26">
      <c r="C53" s="1"/>
      <c r="D53" s="1"/>
      <c r="E53" s="10"/>
      <c r="G53" s="202"/>
      <c r="H53" s="10"/>
      <c r="I53" s="127"/>
      <c r="J53" s="280"/>
      <c r="K53" s="127"/>
      <c r="L53" s="280"/>
      <c r="M53" s="55"/>
      <c r="N53" s="18"/>
      <c r="O53" s="55"/>
      <c r="P53" s="55"/>
    </row>
    <row r="54" spans="1:26">
      <c r="C54" s="8"/>
      <c r="D54" s="8"/>
      <c r="F54" s="14"/>
      <c r="M54" s="261">
        <f>SUM(M2:M52)</f>
        <v>350</v>
      </c>
      <c r="N54" s="262">
        <f>SUM(N2:N52)</f>
        <v>375</v>
      </c>
      <c r="O54" s="262">
        <f>SUM(O2:O52)</f>
        <v>0</v>
      </c>
      <c r="P54" s="262">
        <f>SUM(P2:P52)</f>
        <v>725</v>
      </c>
    </row>
  </sheetData>
  <sortState xmlns:xlrd2="http://schemas.microsoft.com/office/spreadsheetml/2017/richdata2" ref="E2:L53">
    <sortCondition ref="E2:E53"/>
    <sortCondition descending="1" ref="I2:I53"/>
    <sortCondition descending="1" ref="J2:J53"/>
  </sortState>
  <mergeCells count="3">
    <mergeCell ref="A2:A17"/>
    <mergeCell ref="A18:A33"/>
    <mergeCell ref="A34:A51"/>
  </mergeCells>
  <conditionalFormatting sqref="M2:P52">
    <cfRule type="cellIs" dxfId="208" priority="5" stopIfTrue="1" operator="equal">
      <formula>0</formula>
    </cfRule>
  </conditionalFormatting>
  <printOptions gridLines="1"/>
  <pageMargins left="0.70866141732283472" right="0.70866141732283472" top="0.74803149606299213" bottom="0.74803149606299213" header="0.31496062992125984" footer="0.31496062992125984"/>
  <pageSetup paperSize="9" scale="80" orientation="portrait" horizontalDpi="360" verticalDpi="360" r:id="rId1"/>
  <headerFooter>
    <oddHeader>&amp;L&amp;G&amp;R&amp;24&amp;K7030A0Latest Table</oddHead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5"/>
  <sheetViews>
    <sheetView workbookViewId="0">
      <selection activeCell="I2" sqref="I2:I5"/>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62" t="s">
        <v>342</v>
      </c>
      <c r="B1" s="4" t="s">
        <v>224</v>
      </c>
      <c r="C1" s="4" t="s">
        <v>247</v>
      </c>
      <c r="D1" s="45" t="s">
        <v>248</v>
      </c>
      <c r="E1" s="45" t="s">
        <v>249</v>
      </c>
      <c r="F1" s="45" t="s">
        <v>250</v>
      </c>
      <c r="G1" s="45"/>
      <c r="H1" s="351" t="s">
        <v>143</v>
      </c>
      <c r="I1" s="352">
        <f>M2-550</f>
        <v>350</v>
      </c>
      <c r="K1" t="s">
        <v>224</v>
      </c>
      <c r="L1" t="s">
        <v>251</v>
      </c>
      <c r="M1" s="350" t="s">
        <v>270</v>
      </c>
    </row>
    <row r="2" spans="1:13">
      <c r="A2" t="str">
        <f>CONCATENATE(B2,C2)</f>
        <v>A1</v>
      </c>
      <c r="B2" s="8" t="s">
        <v>226</v>
      </c>
      <c r="C2" s="4">
        <v>1</v>
      </c>
      <c r="D2">
        <v>45</v>
      </c>
      <c r="E2">
        <v>35</v>
      </c>
      <c r="F2" s="230">
        <f t="shared" ref="F2:F7" si="0">PotA*E2/100</f>
        <v>61.25</v>
      </c>
      <c r="H2" s="103" t="s">
        <v>252</v>
      </c>
      <c r="I2" s="353">
        <f>pot*0.5</f>
        <v>175</v>
      </c>
      <c r="K2" s="14" t="s">
        <v>226</v>
      </c>
      <c r="L2">
        <v>50</v>
      </c>
      <c r="M2" s="353">
        <f>(entrants-nonentrants)*20</f>
        <v>900</v>
      </c>
    </row>
    <row r="3" spans="1:13">
      <c r="A3" t="str">
        <f t="shared" ref="A3:A63" si="1">CONCATENATE(B3,C3)</f>
        <v>A2</v>
      </c>
      <c r="B3" s="8" t="s">
        <v>226</v>
      </c>
      <c r="C3" s="4">
        <v>2</v>
      </c>
      <c r="E3">
        <v>25</v>
      </c>
      <c r="F3" s="230">
        <f t="shared" si="0"/>
        <v>43.75</v>
      </c>
      <c r="H3" s="103" t="s">
        <v>253</v>
      </c>
      <c r="I3" s="353">
        <f>pot*0.35</f>
        <v>122.49999999999999</v>
      </c>
      <c r="K3" s="14" t="s">
        <v>227</v>
      </c>
      <c r="L3">
        <v>35</v>
      </c>
    </row>
    <row r="4" spans="1:13">
      <c r="A4" t="str">
        <f t="shared" si="1"/>
        <v>A3</v>
      </c>
      <c r="B4" s="8" t="s">
        <v>226</v>
      </c>
      <c r="C4" s="4">
        <v>3</v>
      </c>
      <c r="E4">
        <v>18</v>
      </c>
      <c r="F4" s="230">
        <f t="shared" si="0"/>
        <v>31.5</v>
      </c>
      <c r="H4" s="103" t="s">
        <v>254</v>
      </c>
      <c r="I4" s="353">
        <f>pot*0.15</f>
        <v>52.5</v>
      </c>
      <c r="K4" s="14" t="s">
        <v>228</v>
      </c>
      <c r="L4">
        <v>15</v>
      </c>
    </row>
    <row r="5" spans="1:13">
      <c r="A5" t="str">
        <f t="shared" si="1"/>
        <v>A4</v>
      </c>
      <c r="B5" s="8" t="s">
        <v>226</v>
      </c>
      <c r="C5" s="4">
        <v>4</v>
      </c>
      <c r="E5">
        <v>12</v>
      </c>
      <c r="F5" s="230">
        <f t="shared" si="0"/>
        <v>21</v>
      </c>
      <c r="H5" s="103" t="s">
        <v>255</v>
      </c>
      <c r="I5" s="353">
        <f>pot*0</f>
        <v>0</v>
      </c>
      <c r="K5" s="14" t="s">
        <v>229</v>
      </c>
    </row>
    <row r="6" spans="1:13">
      <c r="A6" t="str">
        <f t="shared" si="1"/>
        <v>A5</v>
      </c>
      <c r="B6" s="8" t="s">
        <v>226</v>
      </c>
      <c r="C6" s="4">
        <v>5</v>
      </c>
      <c r="E6">
        <v>7</v>
      </c>
      <c r="F6" s="230">
        <f t="shared" si="0"/>
        <v>12.25</v>
      </c>
      <c r="L6">
        <f>SUM(L2:L5)</f>
        <v>100</v>
      </c>
    </row>
    <row r="7" spans="1:13">
      <c r="A7" t="str">
        <f t="shared" si="1"/>
        <v>A6</v>
      </c>
      <c r="B7" s="8" t="s">
        <v>226</v>
      </c>
      <c r="C7" s="4">
        <v>6</v>
      </c>
      <c r="E7">
        <v>3</v>
      </c>
      <c r="F7" s="230">
        <f t="shared" si="0"/>
        <v>5.25</v>
      </c>
    </row>
    <row r="8" spans="1:13">
      <c r="A8" t="str">
        <f t="shared" si="1"/>
        <v>A7</v>
      </c>
      <c r="B8" s="8" t="s">
        <v>226</v>
      </c>
      <c r="C8" s="4">
        <v>7</v>
      </c>
      <c r="F8">
        <v>0</v>
      </c>
    </row>
    <row r="9" spans="1:13">
      <c r="A9" t="str">
        <f t="shared" si="1"/>
        <v>A8</v>
      </c>
      <c r="B9" s="8" t="s">
        <v>226</v>
      </c>
      <c r="C9" s="4">
        <v>8</v>
      </c>
      <c r="F9">
        <v>0</v>
      </c>
    </row>
    <row r="10" spans="1:13">
      <c r="A10" t="str">
        <f t="shared" si="1"/>
        <v>A9</v>
      </c>
      <c r="B10" s="8" t="s">
        <v>226</v>
      </c>
      <c r="C10" s="4">
        <v>9</v>
      </c>
      <c r="F10">
        <v>0</v>
      </c>
    </row>
    <row r="11" spans="1:13">
      <c r="A11" t="str">
        <f t="shared" si="1"/>
        <v>A10</v>
      </c>
      <c r="B11" s="8" t="s">
        <v>226</v>
      </c>
      <c r="C11" s="4">
        <v>10</v>
      </c>
      <c r="F11">
        <v>0</v>
      </c>
    </row>
    <row r="12" spans="1:13">
      <c r="A12" t="str">
        <f t="shared" si="1"/>
        <v>A11</v>
      </c>
      <c r="B12" s="8" t="s">
        <v>226</v>
      </c>
      <c r="C12" s="4">
        <v>11</v>
      </c>
      <c r="F12">
        <v>0</v>
      </c>
    </row>
    <row r="13" spans="1:13">
      <c r="A13" t="str">
        <f t="shared" si="1"/>
        <v>A12</v>
      </c>
      <c r="B13" s="8" t="s">
        <v>226</v>
      </c>
      <c r="C13" s="4">
        <v>12</v>
      </c>
      <c r="F13">
        <v>0</v>
      </c>
    </row>
    <row r="14" spans="1:13">
      <c r="A14" t="str">
        <f t="shared" si="1"/>
        <v>A13</v>
      </c>
      <c r="B14" s="8" t="s">
        <v>226</v>
      </c>
      <c r="C14" s="4">
        <v>13</v>
      </c>
      <c r="F14">
        <v>0</v>
      </c>
    </row>
    <row r="15" spans="1:13">
      <c r="A15" t="str">
        <f t="shared" si="1"/>
        <v>A14</v>
      </c>
      <c r="B15" s="8" t="s">
        <v>226</v>
      </c>
      <c r="C15" s="4">
        <v>14</v>
      </c>
      <c r="F15">
        <v>0</v>
      </c>
    </row>
    <row r="16" spans="1:13">
      <c r="A16" t="str">
        <f t="shared" si="1"/>
        <v>A15</v>
      </c>
      <c r="B16" s="8" t="s">
        <v>226</v>
      </c>
      <c r="C16" s="4">
        <v>15</v>
      </c>
      <c r="F16">
        <v>0</v>
      </c>
    </row>
    <row r="17" spans="1:6">
      <c r="A17" t="str">
        <f t="shared" si="1"/>
        <v>A16</v>
      </c>
      <c r="B17" s="8" t="s">
        <v>226</v>
      </c>
      <c r="C17" s="4">
        <v>16</v>
      </c>
      <c r="F17">
        <v>0</v>
      </c>
    </row>
    <row r="18" spans="1:6">
      <c r="A18" t="str">
        <f t="shared" si="1"/>
        <v>B1</v>
      </c>
      <c r="B18" s="8" t="s">
        <v>227</v>
      </c>
      <c r="C18" s="4">
        <v>1</v>
      </c>
      <c r="D18">
        <v>30</v>
      </c>
      <c r="E18">
        <v>35</v>
      </c>
      <c r="F18" s="230">
        <f t="shared" ref="F18:F23" si="2">PotB*E18/100</f>
        <v>42.874999999999993</v>
      </c>
    </row>
    <row r="19" spans="1:6">
      <c r="A19" t="str">
        <f t="shared" si="1"/>
        <v>B2</v>
      </c>
      <c r="B19" s="8" t="s">
        <v>227</v>
      </c>
      <c r="C19" s="4">
        <v>2</v>
      </c>
      <c r="E19">
        <v>25</v>
      </c>
      <c r="F19" s="230">
        <f t="shared" si="2"/>
        <v>30.624999999999996</v>
      </c>
    </row>
    <row r="20" spans="1:6">
      <c r="A20" t="str">
        <f t="shared" si="1"/>
        <v>B3</v>
      </c>
      <c r="B20" s="8" t="s">
        <v>227</v>
      </c>
      <c r="C20" s="4">
        <v>3</v>
      </c>
      <c r="E20">
        <v>18</v>
      </c>
      <c r="F20" s="230">
        <f t="shared" si="2"/>
        <v>22.049999999999997</v>
      </c>
    </row>
    <row r="21" spans="1:6">
      <c r="A21" t="str">
        <f t="shared" si="1"/>
        <v>B4</v>
      </c>
      <c r="B21" s="8" t="s">
        <v>227</v>
      </c>
      <c r="C21" s="4">
        <v>4</v>
      </c>
      <c r="E21">
        <v>12</v>
      </c>
      <c r="F21" s="230">
        <f t="shared" si="2"/>
        <v>14.699999999999998</v>
      </c>
    </row>
    <row r="22" spans="1:6">
      <c r="A22" t="str">
        <f t="shared" si="1"/>
        <v>B5</v>
      </c>
      <c r="B22" s="8" t="s">
        <v>227</v>
      </c>
      <c r="C22" s="4">
        <v>5</v>
      </c>
      <c r="E22">
        <v>7</v>
      </c>
      <c r="F22" s="230">
        <f t="shared" si="2"/>
        <v>8.5749999999999993</v>
      </c>
    </row>
    <row r="23" spans="1:6">
      <c r="A23" t="str">
        <f t="shared" si="1"/>
        <v>B6</v>
      </c>
      <c r="B23" s="8" t="s">
        <v>227</v>
      </c>
      <c r="C23" s="4">
        <v>6</v>
      </c>
      <c r="E23">
        <v>3</v>
      </c>
      <c r="F23" s="230">
        <f t="shared" si="2"/>
        <v>3.6749999999999994</v>
      </c>
    </row>
    <row r="24" spans="1:6">
      <c r="A24" t="str">
        <f t="shared" si="1"/>
        <v>B7</v>
      </c>
      <c r="B24" s="8" t="s">
        <v>227</v>
      </c>
      <c r="C24" s="4">
        <v>7</v>
      </c>
      <c r="F24">
        <v>0</v>
      </c>
    </row>
    <row r="25" spans="1:6">
      <c r="A25" t="str">
        <f t="shared" si="1"/>
        <v>B8</v>
      </c>
      <c r="B25" s="8" t="s">
        <v>227</v>
      </c>
      <c r="C25" s="4">
        <v>8</v>
      </c>
      <c r="F25">
        <v>0</v>
      </c>
    </row>
    <row r="26" spans="1:6">
      <c r="A26" t="str">
        <f t="shared" si="1"/>
        <v>B9</v>
      </c>
      <c r="B26" s="8" t="s">
        <v>227</v>
      </c>
      <c r="C26" s="4">
        <v>9</v>
      </c>
      <c r="F26">
        <v>0</v>
      </c>
    </row>
    <row r="27" spans="1:6">
      <c r="A27" t="str">
        <f t="shared" si="1"/>
        <v>B10</v>
      </c>
      <c r="B27" s="8" t="s">
        <v>227</v>
      </c>
      <c r="C27" s="4">
        <v>10</v>
      </c>
      <c r="F27">
        <v>0</v>
      </c>
    </row>
    <row r="28" spans="1:6">
      <c r="A28" t="str">
        <f t="shared" si="1"/>
        <v>B11</v>
      </c>
      <c r="B28" s="8" t="s">
        <v>227</v>
      </c>
      <c r="C28" s="4">
        <v>11</v>
      </c>
      <c r="F28">
        <v>0</v>
      </c>
    </row>
    <row r="29" spans="1:6">
      <c r="A29" t="str">
        <f t="shared" si="1"/>
        <v>B12</v>
      </c>
      <c r="B29" s="8" t="s">
        <v>227</v>
      </c>
      <c r="C29" s="4">
        <v>12</v>
      </c>
      <c r="F29">
        <v>0</v>
      </c>
    </row>
    <row r="30" spans="1:6">
      <c r="A30" t="str">
        <f t="shared" si="1"/>
        <v>B13</v>
      </c>
      <c r="B30" s="8" t="s">
        <v>227</v>
      </c>
      <c r="C30" s="4">
        <v>13</v>
      </c>
      <c r="F30">
        <v>0</v>
      </c>
    </row>
    <row r="31" spans="1:6">
      <c r="A31" t="str">
        <f t="shared" si="1"/>
        <v>B14</v>
      </c>
      <c r="B31" s="8" t="s">
        <v>227</v>
      </c>
      <c r="C31" s="4">
        <v>14</v>
      </c>
      <c r="F31">
        <v>0</v>
      </c>
    </row>
    <row r="32" spans="1:6">
      <c r="A32" t="str">
        <f t="shared" si="1"/>
        <v>B15</v>
      </c>
      <c r="B32" s="8" t="s">
        <v>227</v>
      </c>
      <c r="C32" s="4">
        <v>15</v>
      </c>
      <c r="F32">
        <v>0</v>
      </c>
    </row>
    <row r="33" spans="1:6">
      <c r="A33" t="str">
        <f t="shared" si="1"/>
        <v>B16</v>
      </c>
      <c r="B33" s="8" t="s">
        <v>227</v>
      </c>
      <c r="C33" s="4">
        <v>16</v>
      </c>
      <c r="F33">
        <v>0</v>
      </c>
    </row>
    <row r="34" spans="1:6">
      <c r="A34" t="str">
        <f t="shared" si="1"/>
        <v>C1</v>
      </c>
      <c r="B34" s="8" t="s">
        <v>228</v>
      </c>
      <c r="C34" s="4">
        <v>1</v>
      </c>
      <c r="D34">
        <v>15</v>
      </c>
      <c r="E34">
        <v>35</v>
      </c>
      <c r="F34" s="230">
        <f t="shared" ref="F34:F39" si="3">PotC*E34/100</f>
        <v>18.375</v>
      </c>
    </row>
    <row r="35" spans="1:6">
      <c r="A35" t="str">
        <f t="shared" si="1"/>
        <v>C2</v>
      </c>
      <c r="B35" s="8" t="s">
        <v>228</v>
      </c>
      <c r="C35" s="4">
        <v>2</v>
      </c>
      <c r="E35">
        <v>25</v>
      </c>
      <c r="F35" s="230">
        <f t="shared" si="3"/>
        <v>13.125</v>
      </c>
    </row>
    <row r="36" spans="1:6">
      <c r="A36" t="str">
        <f t="shared" si="1"/>
        <v>C3</v>
      </c>
      <c r="B36" s="8" t="s">
        <v>228</v>
      </c>
      <c r="C36" s="4">
        <v>3</v>
      </c>
      <c r="E36">
        <v>18</v>
      </c>
      <c r="F36" s="230">
        <f t="shared" si="3"/>
        <v>9.4499999999999993</v>
      </c>
    </row>
    <row r="37" spans="1:6">
      <c r="A37" t="str">
        <f t="shared" si="1"/>
        <v>C4</v>
      </c>
      <c r="B37" s="8" t="s">
        <v>228</v>
      </c>
      <c r="C37" s="4">
        <v>4</v>
      </c>
      <c r="E37">
        <v>12</v>
      </c>
      <c r="F37" s="230">
        <f t="shared" si="3"/>
        <v>6.3</v>
      </c>
    </row>
    <row r="38" spans="1:6">
      <c r="A38" t="str">
        <f t="shared" si="1"/>
        <v>C5</v>
      </c>
      <c r="B38" s="8" t="s">
        <v>228</v>
      </c>
      <c r="C38" s="4">
        <v>5</v>
      </c>
      <c r="E38">
        <v>7</v>
      </c>
      <c r="F38" s="230">
        <f t="shared" si="3"/>
        <v>3.6749999999999998</v>
      </c>
    </row>
    <row r="39" spans="1:6">
      <c r="A39" t="str">
        <f t="shared" si="1"/>
        <v>C6</v>
      </c>
      <c r="B39" s="8" t="s">
        <v>228</v>
      </c>
      <c r="C39" s="4">
        <v>6</v>
      </c>
      <c r="E39">
        <v>3</v>
      </c>
      <c r="F39" s="230">
        <f t="shared" si="3"/>
        <v>1.575</v>
      </c>
    </row>
    <row r="40" spans="1:6">
      <c r="A40" t="str">
        <f t="shared" si="1"/>
        <v>C7</v>
      </c>
      <c r="B40" s="8" t="s">
        <v>228</v>
      </c>
      <c r="C40" s="4">
        <v>7</v>
      </c>
      <c r="F40">
        <v>0</v>
      </c>
    </row>
    <row r="41" spans="1:6">
      <c r="A41" t="str">
        <f t="shared" si="1"/>
        <v>C8</v>
      </c>
      <c r="B41" s="8" t="s">
        <v>228</v>
      </c>
      <c r="C41" s="4">
        <v>8</v>
      </c>
      <c r="F41">
        <v>0</v>
      </c>
    </row>
    <row r="42" spans="1:6">
      <c r="A42" t="str">
        <f t="shared" si="1"/>
        <v>C9</v>
      </c>
      <c r="B42" s="8" t="s">
        <v>228</v>
      </c>
      <c r="C42" s="4">
        <v>9</v>
      </c>
      <c r="F42">
        <v>0</v>
      </c>
    </row>
    <row r="43" spans="1:6">
      <c r="A43" t="str">
        <f t="shared" si="1"/>
        <v>C10</v>
      </c>
      <c r="B43" s="8" t="s">
        <v>228</v>
      </c>
      <c r="C43" s="4">
        <v>10</v>
      </c>
      <c r="F43">
        <v>0</v>
      </c>
    </row>
    <row r="44" spans="1:6">
      <c r="A44" t="str">
        <f t="shared" si="1"/>
        <v>C11</v>
      </c>
      <c r="B44" s="8" t="s">
        <v>228</v>
      </c>
      <c r="C44" s="4">
        <v>11</v>
      </c>
      <c r="F44">
        <v>0</v>
      </c>
    </row>
    <row r="45" spans="1:6">
      <c r="A45" t="str">
        <f t="shared" si="1"/>
        <v>C12</v>
      </c>
      <c r="B45" s="8" t="s">
        <v>228</v>
      </c>
      <c r="C45" s="4">
        <v>12</v>
      </c>
      <c r="F45">
        <v>0</v>
      </c>
    </row>
    <row r="46" spans="1:6">
      <c r="A46" t="str">
        <f t="shared" si="1"/>
        <v>C13</v>
      </c>
      <c r="B46" s="8" t="s">
        <v>228</v>
      </c>
      <c r="C46" s="4">
        <v>13</v>
      </c>
      <c r="F46">
        <v>0</v>
      </c>
    </row>
    <row r="47" spans="1:6">
      <c r="A47" t="str">
        <f t="shared" si="1"/>
        <v>C14</v>
      </c>
      <c r="B47" s="8" t="s">
        <v>228</v>
      </c>
      <c r="C47" s="4">
        <v>14</v>
      </c>
      <c r="F47">
        <v>0</v>
      </c>
    </row>
    <row r="48" spans="1:6">
      <c r="A48" t="str">
        <f t="shared" si="1"/>
        <v>C15</v>
      </c>
      <c r="B48" s="8" t="s">
        <v>228</v>
      </c>
      <c r="C48" s="4">
        <v>15</v>
      </c>
      <c r="F48">
        <v>0</v>
      </c>
    </row>
    <row r="49" spans="1:6">
      <c r="A49" t="str">
        <f t="shared" si="1"/>
        <v>C16</v>
      </c>
      <c r="B49" s="8" t="s">
        <v>228</v>
      </c>
      <c r="C49" s="4">
        <v>16</v>
      </c>
      <c r="F49">
        <v>0</v>
      </c>
    </row>
    <row r="50" spans="1:6">
      <c r="A50" t="str">
        <f t="shared" si="1"/>
        <v>D1</v>
      </c>
      <c r="B50" s="8" t="s">
        <v>229</v>
      </c>
      <c r="C50" s="4">
        <v>1</v>
      </c>
      <c r="D50">
        <v>10</v>
      </c>
      <c r="E50">
        <v>35</v>
      </c>
      <c r="F50" s="230">
        <f t="shared" ref="F50:F55" si="4">PotD*E50/100</f>
        <v>0</v>
      </c>
    </row>
    <row r="51" spans="1:6">
      <c r="A51" t="str">
        <f t="shared" si="1"/>
        <v>D2</v>
      </c>
      <c r="B51" s="8" t="s">
        <v>229</v>
      </c>
      <c r="C51" s="4">
        <v>2</v>
      </c>
      <c r="E51">
        <v>25</v>
      </c>
      <c r="F51" s="230">
        <f t="shared" si="4"/>
        <v>0</v>
      </c>
    </row>
    <row r="52" spans="1:6">
      <c r="A52" t="str">
        <f t="shared" si="1"/>
        <v>D3</v>
      </c>
      <c r="B52" s="8" t="s">
        <v>229</v>
      </c>
      <c r="C52" s="4">
        <v>3</v>
      </c>
      <c r="E52">
        <v>18</v>
      </c>
      <c r="F52" s="230">
        <f t="shared" si="4"/>
        <v>0</v>
      </c>
    </row>
    <row r="53" spans="1:6">
      <c r="A53" t="str">
        <f t="shared" si="1"/>
        <v>D4</v>
      </c>
      <c r="B53" s="8" t="s">
        <v>229</v>
      </c>
      <c r="C53" s="4">
        <v>4</v>
      </c>
      <c r="E53">
        <v>12</v>
      </c>
      <c r="F53" s="230">
        <f t="shared" si="4"/>
        <v>0</v>
      </c>
    </row>
    <row r="54" spans="1:6">
      <c r="A54" t="str">
        <f t="shared" si="1"/>
        <v>D5</v>
      </c>
      <c r="B54" s="8" t="s">
        <v>229</v>
      </c>
      <c r="C54" s="4">
        <v>5</v>
      </c>
      <c r="E54">
        <v>7</v>
      </c>
      <c r="F54" s="230">
        <f t="shared" si="4"/>
        <v>0</v>
      </c>
    </row>
    <row r="55" spans="1:6">
      <c r="A55" t="str">
        <f t="shared" si="1"/>
        <v>D6</v>
      </c>
      <c r="B55" s="8" t="s">
        <v>229</v>
      </c>
      <c r="C55" s="4">
        <v>6</v>
      </c>
      <c r="E55">
        <v>3</v>
      </c>
      <c r="F55" s="230">
        <f t="shared" si="4"/>
        <v>0</v>
      </c>
    </row>
    <row r="56" spans="1:6">
      <c r="A56" t="str">
        <f t="shared" si="1"/>
        <v>D7</v>
      </c>
      <c r="B56" s="8" t="s">
        <v>229</v>
      </c>
      <c r="C56" s="4">
        <v>7</v>
      </c>
      <c r="F56">
        <v>0</v>
      </c>
    </row>
    <row r="57" spans="1:6">
      <c r="A57" t="str">
        <f t="shared" si="1"/>
        <v>D8</v>
      </c>
      <c r="B57" s="8" t="s">
        <v>229</v>
      </c>
      <c r="C57" s="4">
        <v>8</v>
      </c>
      <c r="F57">
        <v>0</v>
      </c>
    </row>
    <row r="58" spans="1:6">
      <c r="A58" t="str">
        <f t="shared" si="1"/>
        <v>D9</v>
      </c>
      <c r="B58" s="8" t="s">
        <v>229</v>
      </c>
      <c r="C58" s="4">
        <v>9</v>
      </c>
      <c r="F58">
        <v>0</v>
      </c>
    </row>
    <row r="59" spans="1:6">
      <c r="A59" t="str">
        <f t="shared" si="1"/>
        <v>D10</v>
      </c>
      <c r="B59" s="8" t="s">
        <v>229</v>
      </c>
      <c r="C59" s="4">
        <v>10</v>
      </c>
      <c r="F59">
        <v>0</v>
      </c>
    </row>
    <row r="60" spans="1:6">
      <c r="A60" t="str">
        <f t="shared" si="1"/>
        <v>D11</v>
      </c>
      <c r="B60" s="8" t="s">
        <v>229</v>
      </c>
      <c r="C60" s="4">
        <v>11</v>
      </c>
      <c r="F60">
        <v>0</v>
      </c>
    </row>
    <row r="61" spans="1:6">
      <c r="A61" t="str">
        <f t="shared" si="1"/>
        <v>D12</v>
      </c>
      <c r="B61" s="8" t="s">
        <v>229</v>
      </c>
      <c r="C61" s="4">
        <v>12</v>
      </c>
      <c r="F61">
        <v>0</v>
      </c>
    </row>
    <row r="62" spans="1:6">
      <c r="A62" t="str">
        <f t="shared" si="1"/>
        <v>D13</v>
      </c>
      <c r="B62" s="8" t="s">
        <v>229</v>
      </c>
      <c r="C62" s="4">
        <v>13</v>
      </c>
      <c r="F62">
        <v>0</v>
      </c>
    </row>
    <row r="63" spans="1:6">
      <c r="A63" t="str">
        <f t="shared" si="1"/>
        <v>D14</v>
      </c>
      <c r="B63" s="8" t="s">
        <v>229</v>
      </c>
      <c r="C63" s="4">
        <v>14</v>
      </c>
      <c r="F63">
        <v>0</v>
      </c>
    </row>
    <row r="64" spans="1:6">
      <c r="A64" t="str">
        <f t="shared" ref="A64:A101" si="5">CONCATENATE(B64,C64)</f>
        <v>D15</v>
      </c>
      <c r="B64" s="8" t="s">
        <v>229</v>
      </c>
      <c r="C64" s="4">
        <v>15</v>
      </c>
      <c r="F64">
        <v>0</v>
      </c>
    </row>
    <row r="65" spans="1:6">
      <c r="A65" t="str">
        <f t="shared" si="5"/>
        <v>D16</v>
      </c>
      <c r="B65" s="8" t="s">
        <v>229</v>
      </c>
      <c r="C65" s="4">
        <v>16</v>
      </c>
      <c r="F65">
        <v>0</v>
      </c>
    </row>
    <row r="66" spans="1:6">
      <c r="A66" t="str">
        <f t="shared" si="5"/>
        <v>D17</v>
      </c>
      <c r="B66" s="8" t="s">
        <v>229</v>
      </c>
      <c r="C66" s="4">
        <v>17</v>
      </c>
      <c r="F66">
        <v>0</v>
      </c>
    </row>
    <row r="67" spans="1:6">
      <c r="A67" t="str">
        <f t="shared" si="5"/>
        <v>D18</v>
      </c>
      <c r="B67" s="8" t="s">
        <v>229</v>
      </c>
      <c r="C67" s="4">
        <v>18</v>
      </c>
      <c r="F67">
        <v>0</v>
      </c>
    </row>
    <row r="68" spans="1:6">
      <c r="A68" t="str">
        <f t="shared" si="5"/>
        <v>D19</v>
      </c>
      <c r="B68" s="8" t="s">
        <v>229</v>
      </c>
      <c r="C68" s="4">
        <v>19</v>
      </c>
      <c r="F68">
        <v>0</v>
      </c>
    </row>
    <row r="69" spans="1:6">
      <c r="A69" t="str">
        <f t="shared" si="5"/>
        <v>D20</v>
      </c>
      <c r="B69" s="8" t="s">
        <v>229</v>
      </c>
      <c r="C69" s="4">
        <v>20</v>
      </c>
      <c r="F69">
        <v>0</v>
      </c>
    </row>
    <row r="70" spans="1:6">
      <c r="A70" t="str">
        <f t="shared" si="5"/>
        <v>D21</v>
      </c>
      <c r="B70" s="8" t="s">
        <v>229</v>
      </c>
      <c r="C70" s="4">
        <v>21</v>
      </c>
      <c r="F70">
        <v>0</v>
      </c>
    </row>
    <row r="71" spans="1:6">
      <c r="A71" t="str">
        <f t="shared" si="5"/>
        <v>D22</v>
      </c>
      <c r="B71" s="8" t="s">
        <v>229</v>
      </c>
      <c r="C71" s="4">
        <v>22</v>
      </c>
      <c r="F71">
        <v>0</v>
      </c>
    </row>
    <row r="72" spans="1:6">
      <c r="A72" t="str">
        <f t="shared" si="5"/>
        <v>D23</v>
      </c>
      <c r="B72" s="8" t="s">
        <v>229</v>
      </c>
      <c r="C72" s="4">
        <v>23</v>
      </c>
      <c r="F72">
        <v>0</v>
      </c>
    </row>
    <row r="73" spans="1:6">
      <c r="A73" t="str">
        <f t="shared" si="5"/>
        <v>D24</v>
      </c>
      <c r="B73" s="8" t="s">
        <v>229</v>
      </c>
      <c r="C73" s="4">
        <v>24</v>
      </c>
      <c r="F73">
        <v>0</v>
      </c>
    </row>
    <row r="74" spans="1:6">
      <c r="A74" t="str">
        <f t="shared" si="5"/>
        <v>D25</v>
      </c>
      <c r="B74" s="8" t="s">
        <v>229</v>
      </c>
      <c r="C74" s="4">
        <v>25</v>
      </c>
      <c r="F74">
        <v>0</v>
      </c>
    </row>
    <row r="75" spans="1:6">
      <c r="A75" t="str">
        <f t="shared" si="5"/>
        <v>D26</v>
      </c>
      <c r="B75" s="8" t="s">
        <v>229</v>
      </c>
      <c r="C75" s="4">
        <v>26</v>
      </c>
      <c r="F75">
        <v>0</v>
      </c>
    </row>
    <row r="76" spans="1:6">
      <c r="A76" t="str">
        <f t="shared" si="5"/>
        <v>D27</v>
      </c>
      <c r="B76" s="8" t="s">
        <v>229</v>
      </c>
      <c r="C76" s="4">
        <v>27</v>
      </c>
      <c r="F76">
        <v>0</v>
      </c>
    </row>
    <row r="77" spans="1:6">
      <c r="A77" t="str">
        <f t="shared" si="5"/>
        <v>D28</v>
      </c>
      <c r="B77" s="8" t="s">
        <v>229</v>
      </c>
      <c r="C77" s="4">
        <v>28</v>
      </c>
      <c r="F77">
        <v>0</v>
      </c>
    </row>
    <row r="78" spans="1:6">
      <c r="A78" t="str">
        <f t="shared" si="5"/>
        <v>D29</v>
      </c>
      <c r="B78" s="8" t="s">
        <v>229</v>
      </c>
      <c r="C78" s="4">
        <v>29</v>
      </c>
      <c r="F78">
        <v>0</v>
      </c>
    </row>
    <row r="79" spans="1:6">
      <c r="A79" t="str">
        <f t="shared" si="5"/>
        <v>D30</v>
      </c>
      <c r="B79" s="8" t="s">
        <v>229</v>
      </c>
      <c r="C79" s="4">
        <v>30</v>
      </c>
      <c r="F79">
        <v>0</v>
      </c>
    </row>
    <row r="80" spans="1:6">
      <c r="A80" t="str">
        <f t="shared" si="5"/>
        <v>D31</v>
      </c>
      <c r="B80" s="8" t="s">
        <v>229</v>
      </c>
      <c r="C80" s="4">
        <v>31</v>
      </c>
      <c r="F80">
        <v>0</v>
      </c>
    </row>
    <row r="81" spans="1:6">
      <c r="A81" t="str">
        <f t="shared" si="5"/>
        <v>D32</v>
      </c>
      <c r="B81" s="8" t="s">
        <v>229</v>
      </c>
      <c r="C81" s="4">
        <v>32</v>
      </c>
      <c r="F81">
        <v>0</v>
      </c>
    </row>
    <row r="82" spans="1:6">
      <c r="A82" t="str">
        <f t="shared" si="5"/>
        <v>D33</v>
      </c>
      <c r="B82" s="8" t="s">
        <v>229</v>
      </c>
      <c r="C82" s="4">
        <v>33</v>
      </c>
      <c r="F82">
        <v>0</v>
      </c>
    </row>
    <row r="83" spans="1:6">
      <c r="A83" t="str">
        <f t="shared" si="5"/>
        <v>D34</v>
      </c>
      <c r="B83" s="8" t="s">
        <v>229</v>
      </c>
      <c r="C83" s="4">
        <v>34</v>
      </c>
      <c r="F83">
        <v>0</v>
      </c>
    </row>
    <row r="84" spans="1:6">
      <c r="A84" t="str">
        <f t="shared" si="5"/>
        <v>D35</v>
      </c>
      <c r="B84" s="8" t="s">
        <v>229</v>
      </c>
      <c r="C84" s="4">
        <v>35</v>
      </c>
      <c r="F84">
        <v>0</v>
      </c>
    </row>
    <row r="85" spans="1:6">
      <c r="A85" t="str">
        <f t="shared" si="5"/>
        <v>D36</v>
      </c>
      <c r="B85" s="8" t="s">
        <v>229</v>
      </c>
      <c r="C85" s="4">
        <v>36</v>
      </c>
      <c r="F85">
        <v>0</v>
      </c>
    </row>
    <row r="86" spans="1:6">
      <c r="A86" t="str">
        <f t="shared" si="5"/>
        <v>D37</v>
      </c>
      <c r="B86" s="8" t="s">
        <v>229</v>
      </c>
      <c r="C86" s="4">
        <v>37</v>
      </c>
      <c r="F86">
        <v>0</v>
      </c>
    </row>
    <row r="87" spans="1:6">
      <c r="A87" t="str">
        <f t="shared" si="5"/>
        <v>D38</v>
      </c>
      <c r="B87" s="8" t="s">
        <v>229</v>
      </c>
      <c r="C87" s="4">
        <v>38</v>
      </c>
      <c r="F87">
        <v>0</v>
      </c>
    </row>
    <row r="88" spans="1:6">
      <c r="A88" t="str">
        <f t="shared" si="5"/>
        <v>D39</v>
      </c>
      <c r="B88" s="8" t="s">
        <v>229</v>
      </c>
      <c r="C88" s="4">
        <v>39</v>
      </c>
      <c r="F88">
        <v>0</v>
      </c>
    </row>
    <row r="89" spans="1:6">
      <c r="A89" t="str">
        <f t="shared" si="5"/>
        <v>D40</v>
      </c>
      <c r="B89" s="8" t="s">
        <v>229</v>
      </c>
      <c r="C89" s="4">
        <v>40</v>
      </c>
      <c r="F89">
        <v>0</v>
      </c>
    </row>
    <row r="90" spans="1:6">
      <c r="A90" t="str">
        <f t="shared" si="5"/>
        <v>D41</v>
      </c>
      <c r="B90" s="8" t="s">
        <v>229</v>
      </c>
      <c r="C90" s="4">
        <v>41</v>
      </c>
      <c r="F90">
        <v>0</v>
      </c>
    </row>
    <row r="91" spans="1:6">
      <c r="A91" t="str">
        <f t="shared" si="5"/>
        <v>D42</v>
      </c>
      <c r="B91" s="8" t="s">
        <v>229</v>
      </c>
      <c r="C91" s="4">
        <v>42</v>
      </c>
      <c r="F91">
        <v>0</v>
      </c>
    </row>
    <row r="92" spans="1:6">
      <c r="A92" t="str">
        <f t="shared" si="5"/>
        <v>D43</v>
      </c>
      <c r="B92" s="8" t="s">
        <v>229</v>
      </c>
      <c r="C92" s="4">
        <v>43</v>
      </c>
      <c r="F92">
        <v>0</v>
      </c>
    </row>
    <row r="93" spans="1:6">
      <c r="A93" t="str">
        <f t="shared" si="5"/>
        <v>D44</v>
      </c>
      <c r="B93" s="8" t="s">
        <v>229</v>
      </c>
      <c r="C93" s="4">
        <v>44</v>
      </c>
      <c r="F93">
        <v>0</v>
      </c>
    </row>
    <row r="94" spans="1:6">
      <c r="A94" t="str">
        <f t="shared" si="5"/>
        <v>D45</v>
      </c>
      <c r="B94" s="8" t="s">
        <v>229</v>
      </c>
      <c r="C94" s="4">
        <v>45</v>
      </c>
      <c r="F94">
        <v>0</v>
      </c>
    </row>
    <row r="95" spans="1:6">
      <c r="A95" t="str">
        <f t="shared" si="5"/>
        <v>D46</v>
      </c>
      <c r="B95" s="8" t="s">
        <v>229</v>
      </c>
      <c r="C95" s="4">
        <v>46</v>
      </c>
      <c r="F95">
        <v>0</v>
      </c>
    </row>
    <row r="96" spans="1:6">
      <c r="A96" t="str">
        <f t="shared" si="5"/>
        <v>D47</v>
      </c>
      <c r="B96" s="8" t="s">
        <v>229</v>
      </c>
      <c r="C96" s="4">
        <v>47</v>
      </c>
      <c r="F96">
        <v>0</v>
      </c>
    </row>
    <row r="97" spans="1:6">
      <c r="A97" t="str">
        <f t="shared" si="5"/>
        <v>D48</v>
      </c>
      <c r="B97" s="8" t="s">
        <v>229</v>
      </c>
      <c r="C97" s="4">
        <v>48</v>
      </c>
      <c r="F97">
        <v>0</v>
      </c>
    </row>
    <row r="98" spans="1:6">
      <c r="A98" t="str">
        <f t="shared" si="5"/>
        <v>D49</v>
      </c>
      <c r="B98" s="8" t="s">
        <v>229</v>
      </c>
      <c r="C98" s="4">
        <v>49</v>
      </c>
      <c r="F98">
        <v>0</v>
      </c>
    </row>
    <row r="99" spans="1:6">
      <c r="A99" t="str">
        <f t="shared" si="5"/>
        <v>D50</v>
      </c>
      <c r="B99" s="8" t="s">
        <v>229</v>
      </c>
      <c r="C99" s="4">
        <v>50</v>
      </c>
      <c r="F99">
        <v>0</v>
      </c>
    </row>
    <row r="100" spans="1:6">
      <c r="A100" t="str">
        <f t="shared" si="5"/>
        <v>D51</v>
      </c>
      <c r="B100" s="8" t="s">
        <v>229</v>
      </c>
      <c r="C100" s="4">
        <v>51</v>
      </c>
      <c r="F100">
        <v>0</v>
      </c>
    </row>
    <row r="101" spans="1:6">
      <c r="A101" t="str">
        <f t="shared" si="5"/>
        <v>D52</v>
      </c>
      <c r="B101" s="8" t="s">
        <v>229</v>
      </c>
      <c r="C101" s="4">
        <v>52</v>
      </c>
      <c r="F101">
        <v>0</v>
      </c>
    </row>
    <row r="102" spans="1:6">
      <c r="A102" s="8" t="s">
        <v>531</v>
      </c>
      <c r="B102" s="8" t="s">
        <v>228</v>
      </c>
      <c r="C102" s="4">
        <v>17</v>
      </c>
      <c r="F102">
        <v>0</v>
      </c>
    </row>
    <row r="103" spans="1:6">
      <c r="A103" s="8" t="s">
        <v>533</v>
      </c>
      <c r="B103" s="8" t="s">
        <v>228</v>
      </c>
      <c r="C103" s="4">
        <v>18</v>
      </c>
      <c r="F103">
        <v>0</v>
      </c>
    </row>
    <row r="104" spans="1:6">
      <c r="A104" s="8" t="s">
        <v>534</v>
      </c>
      <c r="B104" s="8" t="s">
        <v>228</v>
      </c>
      <c r="C104" s="4">
        <v>19</v>
      </c>
      <c r="F104">
        <v>0</v>
      </c>
    </row>
    <row r="105" spans="1:6">
      <c r="A105" s="8" t="s">
        <v>532</v>
      </c>
      <c r="B105" s="8" t="s">
        <v>228</v>
      </c>
      <c r="C105" s="4">
        <v>20</v>
      </c>
      <c r="F105">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76"/>
      <c r="B1" s="76"/>
      <c r="C1" s="76"/>
      <c r="D1" s="76"/>
      <c r="E1" s="76"/>
      <c r="F1" s="76"/>
      <c r="G1" s="76"/>
      <c r="H1" s="76"/>
      <c r="I1" s="76"/>
      <c r="J1" s="76"/>
      <c r="K1" s="76"/>
      <c r="L1" s="76"/>
      <c r="M1" s="76"/>
      <c r="N1" s="76"/>
      <c r="O1" s="76"/>
    </row>
    <row r="2" spans="1:23" ht="13.5" thickBot="1">
      <c r="A2" s="76"/>
      <c r="B2" s="76"/>
      <c r="C2" s="76"/>
      <c r="D2" s="76"/>
      <c r="E2" s="76"/>
      <c r="F2" s="76"/>
      <c r="G2" s="76"/>
      <c r="H2" s="76"/>
      <c r="I2" s="76"/>
      <c r="J2" s="76"/>
      <c r="K2" s="76"/>
      <c r="L2" s="79"/>
      <c r="M2" s="79"/>
      <c r="N2" s="79"/>
      <c r="O2" s="379" t="s">
        <v>354</v>
      </c>
    </row>
    <row r="3" spans="1:23" ht="17.649999999999999" thickBot="1">
      <c r="A3" s="76"/>
      <c r="B3" s="380" t="s">
        <v>275</v>
      </c>
      <c r="C3" s="139"/>
      <c r="D3" s="139"/>
      <c r="E3" s="139"/>
      <c r="F3" s="139"/>
      <c r="G3" s="139"/>
      <c r="H3" s="139"/>
      <c r="I3" s="139"/>
      <c r="J3" s="139"/>
      <c r="K3" s="139"/>
      <c r="L3" s="381" t="s">
        <v>355</v>
      </c>
      <c r="M3" s="397" t="e">
        <f>INDEX(Table!I:I,MATCH(B3,Table!F:F,0))</f>
        <v>#N/A</v>
      </c>
      <c r="N3" s="382"/>
      <c r="O3" s="398" t="e">
        <f>M3-7</f>
        <v>#N/A</v>
      </c>
    </row>
    <row r="4" spans="1:23" ht="13.15">
      <c r="A4" s="76"/>
      <c r="B4" s="76"/>
      <c r="C4" s="153" t="s">
        <v>25</v>
      </c>
      <c r="D4" s="396" t="s">
        <v>356</v>
      </c>
      <c r="E4" s="153" t="s">
        <v>178</v>
      </c>
      <c r="F4" s="153" t="s">
        <v>178</v>
      </c>
      <c r="G4" s="153" t="s">
        <v>25</v>
      </c>
      <c r="H4" s="80"/>
      <c r="I4" s="80"/>
      <c r="J4" s="80"/>
      <c r="K4" s="80"/>
      <c r="L4" s="383" t="s">
        <v>171</v>
      </c>
      <c r="M4" s="383" t="s">
        <v>172</v>
      </c>
      <c r="N4" s="384"/>
      <c r="O4" s="385">
        <f>IF(K4=0,0,1)+K4</f>
        <v>0</v>
      </c>
      <c r="V4" t="s">
        <v>284</v>
      </c>
      <c r="W4" t="s">
        <v>415</v>
      </c>
    </row>
    <row r="5" spans="1:23">
      <c r="A5" s="76"/>
      <c r="B5" s="76"/>
      <c r="C5" s="154" t="s">
        <v>179</v>
      </c>
      <c r="D5" s="386" t="s">
        <v>158</v>
      </c>
      <c r="E5" s="155" t="s">
        <v>27</v>
      </c>
      <c r="F5" s="155" t="s">
        <v>27</v>
      </c>
      <c r="G5" s="155" t="s">
        <v>13</v>
      </c>
      <c r="H5" s="80"/>
      <c r="I5" s="150">
        <f>F6</f>
        <v>0.22222222222222232</v>
      </c>
      <c r="J5" s="150" t="e">
        <f>F7</f>
        <v>#N/A</v>
      </c>
      <c r="K5" s="150" t="e">
        <f>F8</f>
        <v>#N/A</v>
      </c>
      <c r="L5" s="385">
        <f>IF(I5=0,0,1)+I5</f>
        <v>1.2222222222222223</v>
      </c>
      <c r="M5" s="385" t="e">
        <f>IF(J5=0,0,1)+J5</f>
        <v>#N/A</v>
      </c>
      <c r="N5" s="385"/>
      <c r="O5" s="385" t="e">
        <f>IF(K5=0,0,1)+K5</f>
        <v>#N/A</v>
      </c>
      <c r="P5" s="385" t="e">
        <f>IF(J5=0,0,(L5*J5)+L5)</f>
        <v>#N/A</v>
      </c>
      <c r="Q5" s="385" t="e">
        <f>IF(K5=0,0,(M5*K5)+M5)</f>
        <v>#N/A</v>
      </c>
      <c r="R5" s="385" t="e">
        <f>IF(I5=0,0,(O5*I5)+O5)</f>
        <v>#N/A</v>
      </c>
      <c r="S5" s="385" t="e">
        <f>IF(K5=0,0,(P5*K5)+P5)</f>
        <v>#N/A</v>
      </c>
      <c r="V5" t="s">
        <v>284</v>
      </c>
      <c r="W5" t="s">
        <v>414</v>
      </c>
    </row>
    <row r="6" spans="1:23" ht="16.149999999999999" thickBot="1">
      <c r="A6" s="76"/>
      <c r="B6" s="89" t="s">
        <v>429</v>
      </c>
      <c r="C6" s="156" t="s">
        <v>181</v>
      </c>
      <c r="D6" s="387">
        <f>INDEX(Picks!C:C,MATCH(B6,Picks!B:B,0))</f>
        <v>7</v>
      </c>
      <c r="E6" s="387">
        <f>INDEX(Picks!D:D,MATCH(B6,Picks!B:B,0))</f>
        <v>1.2222222222222223</v>
      </c>
      <c r="F6" s="387">
        <f>+((E6-1)*G6)</f>
        <v>0.22222222222222232</v>
      </c>
      <c r="G6" s="149">
        <v>1</v>
      </c>
      <c r="H6" s="80"/>
      <c r="I6" s="80"/>
      <c r="J6" s="80"/>
      <c r="K6" s="80"/>
      <c r="L6" s="383"/>
      <c r="M6" s="383"/>
      <c r="N6" s="383"/>
      <c r="O6" s="383"/>
      <c r="P6" s="383"/>
      <c r="Q6" s="383"/>
      <c r="R6" s="383"/>
      <c r="S6" s="383"/>
      <c r="V6" t="s">
        <v>284</v>
      </c>
      <c r="W6" t="s">
        <v>348</v>
      </c>
    </row>
    <row r="7" spans="1:23" ht="15.75">
      <c r="A7" s="76"/>
      <c r="B7" s="89" t="s">
        <v>170</v>
      </c>
      <c r="C7" s="156" t="s">
        <v>181</v>
      </c>
      <c r="D7" s="387" t="e">
        <f>INDEX(Picks!C:C,MATCH(B7,Picks!B:B,0))</f>
        <v>#N/A</v>
      </c>
      <c r="E7" s="387" t="e">
        <f>INDEX(Picks!D:D,MATCH(B7,Picks!B:B,0))</f>
        <v>#N/A</v>
      </c>
      <c r="F7" s="387" t="e">
        <f>+((E7-1)*G7)</f>
        <v>#N/A</v>
      </c>
      <c r="G7" s="149">
        <v>1</v>
      </c>
      <c r="H7" s="80"/>
      <c r="I7" s="80"/>
      <c r="J7" s="80"/>
      <c r="K7" s="80"/>
      <c r="L7" s="5" t="s">
        <v>13</v>
      </c>
      <c r="M7" s="5" t="s">
        <v>28</v>
      </c>
      <c r="N7" s="388"/>
      <c r="O7" s="389" t="s">
        <v>18</v>
      </c>
      <c r="P7" s="392"/>
      <c r="Q7" s="383"/>
      <c r="R7" s="383"/>
      <c r="S7" s="383"/>
      <c r="V7" t="s">
        <v>298</v>
      </c>
      <c r="W7" t="s">
        <v>348</v>
      </c>
    </row>
    <row r="8" spans="1:23" ht="16.149999999999999" thickBot="1">
      <c r="A8" s="76"/>
      <c r="B8" s="89" t="s">
        <v>425</v>
      </c>
      <c r="C8" s="156" t="s">
        <v>181</v>
      </c>
      <c r="D8" s="387" t="e">
        <f>INDEX(Picks!C:C,MATCH(B8,Picks!B:B,0))</f>
        <v>#N/A</v>
      </c>
      <c r="E8" s="387" t="e">
        <f>INDEX(Picks!D:D,MATCH(B8,Picks!B:B,0))</f>
        <v>#N/A</v>
      </c>
      <c r="F8" s="387" t="e">
        <f>+((E8-1)*G8)</f>
        <v>#N/A</v>
      </c>
      <c r="G8" s="149">
        <v>1</v>
      </c>
      <c r="H8" s="80"/>
      <c r="I8" s="80"/>
      <c r="J8" s="80"/>
      <c r="K8" s="80"/>
      <c r="L8" s="6">
        <f>SUM(G6:G8)</f>
        <v>3</v>
      </c>
      <c r="M8" s="7" t="e">
        <f>SUM(L5:S5)-7</f>
        <v>#N/A</v>
      </c>
      <c r="N8" s="390"/>
      <c r="O8" s="391" t="e">
        <f>$M$3+M8</f>
        <v>#N/A</v>
      </c>
      <c r="P8" s="392"/>
      <c r="Q8" s="383"/>
      <c r="R8" s="383"/>
      <c r="S8" s="383"/>
      <c r="V8" t="s">
        <v>298</v>
      </c>
      <c r="W8" t="s">
        <v>170</v>
      </c>
    </row>
    <row r="9" spans="1:23">
      <c r="A9" s="76"/>
      <c r="B9" s="76"/>
      <c r="C9" s="76"/>
      <c r="D9" s="80"/>
      <c r="E9" s="80"/>
      <c r="F9" s="80"/>
      <c r="G9" s="80"/>
      <c r="H9" s="80"/>
      <c r="I9" s="76"/>
      <c r="J9" s="76"/>
      <c r="K9" s="80"/>
      <c r="L9" s="80"/>
      <c r="M9" s="80"/>
      <c r="N9" s="80"/>
      <c r="O9" s="383"/>
      <c r="P9" s="383"/>
      <c r="Q9" s="383"/>
      <c r="R9" s="383"/>
      <c r="S9" s="383"/>
      <c r="V9" t="s">
        <v>298</v>
      </c>
      <c r="W9" t="s">
        <v>430</v>
      </c>
    </row>
    <row r="10" spans="1:23">
      <c r="A10" s="76"/>
      <c r="B10" s="76"/>
      <c r="C10" s="76"/>
      <c r="D10" s="80"/>
      <c r="E10" s="80"/>
      <c r="F10" s="80"/>
      <c r="G10" s="80"/>
      <c r="H10" s="80"/>
      <c r="I10" s="76"/>
      <c r="J10" s="76"/>
      <c r="K10" s="80"/>
      <c r="L10" s="383"/>
      <c r="M10" s="383"/>
      <c r="N10" s="383"/>
      <c r="O10" s="383"/>
      <c r="P10" s="383"/>
      <c r="Q10" s="383"/>
      <c r="R10" s="383"/>
      <c r="S10" s="383"/>
      <c r="V10" t="s">
        <v>285</v>
      </c>
      <c r="W10" t="s">
        <v>428</v>
      </c>
    </row>
    <row r="11" spans="1:23">
      <c r="A11" s="76"/>
      <c r="B11" s="76"/>
      <c r="C11" s="153" t="s">
        <v>25</v>
      </c>
      <c r="D11" s="396" t="s">
        <v>356</v>
      </c>
      <c r="E11" s="153" t="s">
        <v>178</v>
      </c>
      <c r="F11" s="153" t="s">
        <v>178</v>
      </c>
      <c r="G11" s="153" t="s">
        <v>25</v>
      </c>
      <c r="H11" s="80"/>
      <c r="I11" s="80"/>
      <c r="J11" s="80"/>
      <c r="K11" s="80"/>
      <c r="L11" s="383" t="s">
        <v>171</v>
      </c>
      <c r="M11" s="383" t="s">
        <v>172</v>
      </c>
      <c r="N11" s="383"/>
      <c r="O11" s="383" t="s">
        <v>173</v>
      </c>
      <c r="P11" s="383" t="s">
        <v>174</v>
      </c>
      <c r="Q11" s="383" t="s">
        <v>175</v>
      </c>
      <c r="R11" s="383" t="s">
        <v>176</v>
      </c>
      <c r="S11" s="383" t="s">
        <v>177</v>
      </c>
      <c r="V11" t="s">
        <v>285</v>
      </c>
      <c r="W11" t="s">
        <v>427</v>
      </c>
    </row>
    <row r="12" spans="1:23">
      <c r="A12" s="76"/>
      <c r="B12" s="76"/>
      <c r="C12" s="154" t="s">
        <v>179</v>
      </c>
      <c r="D12" s="386" t="s">
        <v>158</v>
      </c>
      <c r="E12" s="155" t="s">
        <v>27</v>
      </c>
      <c r="F12" s="155" t="s">
        <v>27</v>
      </c>
      <c r="G12" s="155" t="s">
        <v>13</v>
      </c>
      <c r="H12" s="80"/>
      <c r="I12" s="150">
        <f>F13</f>
        <v>0.22222222222222232</v>
      </c>
      <c r="J12" s="150" t="e">
        <f>F14</f>
        <v>#N/A</v>
      </c>
      <c r="K12" s="150" t="e">
        <f>F15</f>
        <v>#N/A</v>
      </c>
      <c r="L12" s="385">
        <f>IF(I12=0,0,1)+I12</f>
        <v>1.2222222222222223</v>
      </c>
      <c r="M12" s="385" t="e">
        <f>IF(J12=0,0,1)+J12</f>
        <v>#N/A</v>
      </c>
      <c r="N12" s="385"/>
      <c r="O12" s="385" t="e">
        <f>IF(K12=0,0,1)+K12</f>
        <v>#N/A</v>
      </c>
      <c r="P12" s="385" t="e">
        <f>IF(J12=0,0,(L12*J12)+L12)</f>
        <v>#N/A</v>
      </c>
      <c r="Q12" s="385" t="e">
        <f>IF(K12=0,0,(M12*K12)+M12)</f>
        <v>#N/A</v>
      </c>
      <c r="R12" s="385" t="e">
        <f>IF(I12=0,0,(O12*I12)+O12)</f>
        <v>#N/A</v>
      </c>
      <c r="S12" s="385" t="e">
        <f>IF(K12=0,0,(P12*K12)+P12)</f>
        <v>#N/A</v>
      </c>
      <c r="V12" t="s">
        <v>285</v>
      </c>
      <c r="W12" t="s">
        <v>348</v>
      </c>
    </row>
    <row r="13" spans="1:23" ht="16.149999999999999" thickBot="1">
      <c r="A13" s="76"/>
      <c r="B13" s="89" t="str">
        <f>game1</f>
        <v>Spurs</v>
      </c>
      <c r="C13" s="156" t="s">
        <v>181</v>
      </c>
      <c r="D13" s="387">
        <f>INDEX(Picks!C:C,MATCH(B13,Picks!B:B,0))</f>
        <v>7</v>
      </c>
      <c r="E13" s="387">
        <f>INDEX(Picks!D:D,MATCH(B13,Picks!B:B,0))</f>
        <v>1.2222222222222223</v>
      </c>
      <c r="F13" s="387">
        <f>+((E13-1)*G13)</f>
        <v>0.22222222222222232</v>
      </c>
      <c r="G13" s="149">
        <v>1</v>
      </c>
      <c r="H13" s="80"/>
      <c r="I13" s="80"/>
      <c r="J13" s="80"/>
      <c r="K13" s="80"/>
      <c r="L13" s="80"/>
      <c r="M13" s="80"/>
      <c r="N13" s="80"/>
      <c r="O13" s="383"/>
      <c r="P13" s="383"/>
      <c r="Q13" s="383"/>
      <c r="R13" s="383"/>
      <c r="S13" s="383"/>
      <c r="V13" t="s">
        <v>301</v>
      </c>
      <c r="W13" t="s">
        <v>426</v>
      </c>
    </row>
    <row r="14" spans="1:23" ht="15.75">
      <c r="A14" s="76"/>
      <c r="B14" s="89" t="str">
        <f>game2</f>
        <v>Sunderland</v>
      </c>
      <c r="C14" s="156" t="s">
        <v>181</v>
      </c>
      <c r="D14" s="387" t="e">
        <f>INDEX(Picks!C:C,MATCH(B14,Picks!B:B,0))</f>
        <v>#N/A</v>
      </c>
      <c r="E14" s="387" t="e">
        <f>INDEX(Picks!D:D,MATCH(B14,Picks!B:B,0))</f>
        <v>#N/A</v>
      </c>
      <c r="F14" s="387" t="e">
        <f>+((E14-1)*G14)</f>
        <v>#N/A</v>
      </c>
      <c r="G14" s="149">
        <v>1</v>
      </c>
      <c r="H14" s="80"/>
      <c r="I14" s="80"/>
      <c r="J14" s="80"/>
      <c r="K14" s="80"/>
      <c r="L14" s="5" t="s">
        <v>13</v>
      </c>
      <c r="M14" s="5" t="s">
        <v>28</v>
      </c>
      <c r="N14" s="388"/>
      <c r="O14" s="389" t="s">
        <v>18</v>
      </c>
      <c r="P14" s="392"/>
      <c r="Q14" s="383"/>
      <c r="R14" s="383"/>
      <c r="S14" s="383"/>
      <c r="V14" t="s">
        <v>301</v>
      </c>
      <c r="W14" t="s">
        <v>348</v>
      </c>
    </row>
    <row r="15" spans="1:23" ht="16.149999999999999" thickBot="1">
      <c r="A15" s="76"/>
      <c r="B15" s="89" t="str">
        <f>game3</f>
        <v>Sheff U</v>
      </c>
      <c r="C15" s="160" t="s">
        <v>180</v>
      </c>
      <c r="D15" s="387" t="e">
        <f>INDEX(Picks!C:C,MATCH(B15,Picks!B:B,0))</f>
        <v>#N/A</v>
      </c>
      <c r="E15" s="387" t="e">
        <f>INDEX(Picks!D:D,MATCH(B15,Picks!B:B,0))</f>
        <v>#N/A</v>
      </c>
      <c r="F15" s="387" t="e">
        <f>+((E15-1)*G15)</f>
        <v>#N/A</v>
      </c>
      <c r="G15" s="149">
        <v>0</v>
      </c>
      <c r="H15" s="80"/>
      <c r="I15" s="80"/>
      <c r="J15" s="80"/>
      <c r="K15" s="80"/>
      <c r="L15" s="6">
        <f>SUM(G13:G15)</f>
        <v>2</v>
      </c>
      <c r="M15" s="7" t="e">
        <f>SUM(L12:S12)-7</f>
        <v>#N/A</v>
      </c>
      <c r="N15" s="390"/>
      <c r="O15" s="391" t="e">
        <f>$M$3+M15</f>
        <v>#N/A</v>
      </c>
      <c r="P15" s="392"/>
      <c r="Q15" s="383"/>
      <c r="R15" s="383"/>
      <c r="S15" s="383"/>
      <c r="V15" t="s">
        <v>301</v>
      </c>
      <c r="W15" t="s">
        <v>425</v>
      </c>
    </row>
    <row r="16" spans="1:23">
      <c r="A16" s="76"/>
      <c r="B16" s="76"/>
      <c r="C16" s="76"/>
      <c r="D16" s="80"/>
      <c r="E16" s="80"/>
      <c r="F16" s="80"/>
      <c r="G16" s="80"/>
      <c r="H16" s="80"/>
      <c r="I16" s="76"/>
      <c r="J16" s="76"/>
      <c r="K16" s="80"/>
      <c r="L16" s="80"/>
      <c r="M16" s="80"/>
      <c r="N16" s="80"/>
      <c r="O16" s="383"/>
      <c r="P16" s="383"/>
      <c r="Q16" s="383"/>
      <c r="R16" s="383"/>
      <c r="S16" s="383"/>
      <c r="V16" t="s">
        <v>275</v>
      </c>
      <c r="W16" t="s">
        <v>429</v>
      </c>
    </row>
    <row r="17" spans="1:23">
      <c r="A17" s="76"/>
      <c r="B17" s="76"/>
      <c r="C17" s="76"/>
      <c r="D17" s="80" t="s">
        <v>182</v>
      </c>
      <c r="E17" s="80"/>
      <c r="F17" s="80"/>
      <c r="G17" s="80"/>
      <c r="H17" s="80"/>
      <c r="I17" s="76"/>
      <c r="J17" s="76"/>
      <c r="K17" s="80"/>
      <c r="L17" s="383"/>
      <c r="M17" s="383"/>
      <c r="N17" s="383"/>
      <c r="O17" s="383"/>
      <c r="P17" s="383"/>
      <c r="Q17" s="383"/>
      <c r="R17" s="383"/>
      <c r="S17" s="383"/>
      <c r="V17" t="s">
        <v>275</v>
      </c>
      <c r="W17" t="s">
        <v>170</v>
      </c>
    </row>
    <row r="18" spans="1:23">
      <c r="A18" s="76"/>
      <c r="B18" s="76"/>
      <c r="C18" s="153" t="s">
        <v>25</v>
      </c>
      <c r="D18" s="396" t="s">
        <v>356</v>
      </c>
      <c r="E18" s="153" t="s">
        <v>178</v>
      </c>
      <c r="F18" s="153" t="s">
        <v>178</v>
      </c>
      <c r="G18" s="153" t="s">
        <v>25</v>
      </c>
      <c r="H18" s="80"/>
      <c r="I18" s="80"/>
      <c r="J18" s="80"/>
      <c r="K18" s="80"/>
      <c r="L18" s="383" t="s">
        <v>171</v>
      </c>
      <c r="M18" s="383" t="s">
        <v>172</v>
      </c>
      <c r="N18" s="383"/>
      <c r="O18" s="383" t="s">
        <v>173</v>
      </c>
      <c r="P18" s="383" t="s">
        <v>174</v>
      </c>
      <c r="Q18" s="383" t="s">
        <v>175</v>
      </c>
      <c r="R18" s="383" t="s">
        <v>176</v>
      </c>
      <c r="S18" s="383" t="s">
        <v>177</v>
      </c>
      <c r="V18" t="s">
        <v>275</v>
      </c>
      <c r="W18" t="s">
        <v>425</v>
      </c>
    </row>
    <row r="19" spans="1:23">
      <c r="A19" s="76"/>
      <c r="B19" s="76"/>
      <c r="C19" s="154" t="s">
        <v>179</v>
      </c>
      <c r="D19" s="386" t="s">
        <v>158</v>
      </c>
      <c r="E19" s="155" t="s">
        <v>27</v>
      </c>
      <c r="F19" s="155" t="s">
        <v>27</v>
      </c>
      <c r="G19" s="155" t="s">
        <v>13</v>
      </c>
      <c r="H19" s="80"/>
      <c r="I19" s="150">
        <f>F20</f>
        <v>0</v>
      </c>
      <c r="J19" s="150" t="e">
        <f>F21</f>
        <v>#N/A</v>
      </c>
      <c r="K19" s="150" t="e">
        <f>F22</f>
        <v>#N/A</v>
      </c>
      <c r="L19" s="385">
        <f>IF(I19=0,0,1)+I19</f>
        <v>0</v>
      </c>
      <c r="M19" s="385" t="e">
        <f>IF(J19=0,0,1)+J19</f>
        <v>#N/A</v>
      </c>
      <c r="N19" s="385"/>
      <c r="O19" s="385" t="e">
        <f>IF(K19=0,0,1)+K19</f>
        <v>#N/A</v>
      </c>
      <c r="P19" s="385" t="e">
        <f>IF(J19=0,0,(L19*J19)+L19)</f>
        <v>#N/A</v>
      </c>
      <c r="Q19" s="385" t="e">
        <f>IF(K19=0,0,(M19*K19)+M19)</f>
        <v>#N/A</v>
      </c>
      <c r="R19" s="385">
        <f>IF(I19=0,0,(O19*I19)+O19)</f>
        <v>0</v>
      </c>
      <c r="S19" s="385" t="e">
        <f>IF(K19=0,0,(P19*K19)+P19)</f>
        <v>#N/A</v>
      </c>
    </row>
    <row r="20" spans="1:23" ht="16.149999999999999" thickBot="1">
      <c r="A20" s="76"/>
      <c r="B20" s="89" t="str">
        <f>game1</f>
        <v>Spurs</v>
      </c>
      <c r="C20" s="160" t="s">
        <v>180</v>
      </c>
      <c r="D20" s="387">
        <f>INDEX(Picks!C:C,MATCH(B20,Picks!B:B,0))</f>
        <v>7</v>
      </c>
      <c r="E20" s="387">
        <f>INDEX(Picks!D:D,MATCH(B20,Picks!B:B,0))</f>
        <v>1.2222222222222223</v>
      </c>
      <c r="F20" s="387">
        <f>+((E20-1)*G20)</f>
        <v>0</v>
      </c>
      <c r="G20" s="149">
        <v>0</v>
      </c>
      <c r="H20" s="80"/>
      <c r="I20" s="80"/>
      <c r="J20" s="80"/>
      <c r="K20" s="80"/>
      <c r="L20" s="80"/>
      <c r="M20" s="80"/>
      <c r="N20" s="80"/>
      <c r="O20" s="383"/>
      <c r="P20" s="383"/>
      <c r="Q20" s="383"/>
      <c r="R20" s="383"/>
      <c r="S20" s="383"/>
    </row>
    <row r="21" spans="1:23" ht="15.75">
      <c r="A21" s="76"/>
      <c r="B21" s="89" t="str">
        <f>game2</f>
        <v>Sunderland</v>
      </c>
      <c r="C21" s="156" t="s">
        <v>181</v>
      </c>
      <c r="D21" s="387" t="e">
        <f>INDEX(Picks!C:C,MATCH(B21,Picks!B:B,0))</f>
        <v>#N/A</v>
      </c>
      <c r="E21" s="387" t="e">
        <f>INDEX(Picks!D:D,MATCH(B21,Picks!B:B,0))</f>
        <v>#N/A</v>
      </c>
      <c r="F21" s="387" t="e">
        <f>+((E21-1)*G21)</f>
        <v>#N/A</v>
      </c>
      <c r="G21" s="149">
        <v>1</v>
      </c>
      <c r="H21" s="80"/>
      <c r="I21" s="80"/>
      <c r="J21" s="80"/>
      <c r="K21" s="80"/>
      <c r="L21" s="5" t="s">
        <v>13</v>
      </c>
      <c r="M21" s="5" t="s">
        <v>28</v>
      </c>
      <c r="N21" s="388"/>
      <c r="O21" s="389" t="s">
        <v>18</v>
      </c>
      <c r="P21" s="392"/>
      <c r="Q21" s="383"/>
      <c r="R21" s="383"/>
      <c r="S21" s="383"/>
    </row>
    <row r="22" spans="1:23" ht="16.149999999999999" thickBot="1">
      <c r="A22" s="76"/>
      <c r="B22" s="89" t="str">
        <f>game3</f>
        <v>Sheff U</v>
      </c>
      <c r="C22" s="156" t="s">
        <v>181</v>
      </c>
      <c r="D22" s="387" t="e">
        <f>INDEX(Picks!C:C,MATCH(B22,Picks!B:B,0))</f>
        <v>#N/A</v>
      </c>
      <c r="E22" s="387" t="e">
        <f>INDEX(Picks!D:D,MATCH(B22,Picks!B:B,0))</f>
        <v>#N/A</v>
      </c>
      <c r="F22" s="387" t="e">
        <f>+((E22-1)*G22)</f>
        <v>#N/A</v>
      </c>
      <c r="G22" s="149">
        <v>1</v>
      </c>
      <c r="H22" s="80"/>
      <c r="I22" s="80"/>
      <c r="J22" s="80"/>
      <c r="K22" s="80"/>
      <c r="L22" s="6">
        <f>SUM(G20:G22)</f>
        <v>2</v>
      </c>
      <c r="M22" s="7" t="e">
        <f>SUM(L19:S19)-7</f>
        <v>#N/A</v>
      </c>
      <c r="N22" s="390"/>
      <c r="O22" s="391" t="e">
        <f>$M$3+M22</f>
        <v>#N/A</v>
      </c>
      <c r="P22" s="392"/>
      <c r="Q22" s="383"/>
      <c r="R22" s="383"/>
      <c r="S22" s="383"/>
    </row>
    <row r="23" spans="1:23" ht="13.15">
      <c r="A23" s="76"/>
      <c r="B23" s="76"/>
      <c r="C23" s="76"/>
      <c r="D23" s="80"/>
      <c r="E23" s="80"/>
      <c r="F23" s="80"/>
      <c r="G23" s="80"/>
      <c r="H23" s="80"/>
      <c r="I23" s="76"/>
      <c r="J23" s="76"/>
      <c r="K23" s="80"/>
      <c r="L23" s="158"/>
      <c r="M23" s="159"/>
      <c r="N23" s="159"/>
      <c r="O23" s="392"/>
      <c r="P23" s="392"/>
      <c r="Q23" s="383"/>
      <c r="R23" s="383"/>
      <c r="S23" s="383"/>
    </row>
    <row r="24" spans="1:23" ht="13.15">
      <c r="A24" s="76"/>
      <c r="B24" s="76"/>
      <c r="C24" s="76"/>
      <c r="D24" s="80"/>
      <c r="E24" s="80"/>
      <c r="F24" s="80"/>
      <c r="G24" s="80"/>
      <c r="H24" s="80"/>
      <c r="I24" s="76"/>
      <c r="J24" s="76"/>
      <c r="K24" s="80"/>
      <c r="L24" s="393"/>
      <c r="M24" s="394"/>
      <c r="N24" s="394"/>
      <c r="O24" s="392"/>
      <c r="P24" s="392"/>
      <c r="Q24" s="383"/>
      <c r="R24" s="383"/>
      <c r="S24" s="383"/>
    </row>
    <row r="25" spans="1:23">
      <c r="A25" s="76"/>
      <c r="B25" s="76"/>
      <c r="C25" s="153" t="s">
        <v>25</v>
      </c>
      <c r="D25" s="396" t="s">
        <v>356</v>
      </c>
      <c r="E25" s="153" t="s">
        <v>178</v>
      </c>
      <c r="F25" s="153" t="s">
        <v>178</v>
      </c>
      <c r="G25" s="153" t="s">
        <v>25</v>
      </c>
      <c r="H25" s="80"/>
      <c r="I25" s="80"/>
      <c r="J25" s="80"/>
      <c r="K25" s="80"/>
      <c r="L25" s="383" t="s">
        <v>171</v>
      </c>
      <c r="M25" s="383" t="s">
        <v>172</v>
      </c>
      <c r="N25" s="383"/>
      <c r="O25" s="383" t="s">
        <v>173</v>
      </c>
      <c r="P25" s="383" t="s">
        <v>174</v>
      </c>
      <c r="Q25" s="383" t="s">
        <v>175</v>
      </c>
      <c r="R25" s="383" t="s">
        <v>176</v>
      </c>
      <c r="S25" s="383" t="s">
        <v>177</v>
      </c>
    </row>
    <row r="26" spans="1:23">
      <c r="A26" s="76"/>
      <c r="B26" s="76"/>
      <c r="C26" s="154" t="s">
        <v>179</v>
      </c>
      <c r="D26" s="386" t="s">
        <v>158</v>
      </c>
      <c r="E26" s="155" t="s">
        <v>27</v>
      </c>
      <c r="F26" s="155" t="s">
        <v>27</v>
      </c>
      <c r="G26" s="155" t="s">
        <v>13</v>
      </c>
      <c r="H26" s="80"/>
      <c r="I26" s="150">
        <f>F27</f>
        <v>0.22222222222222232</v>
      </c>
      <c r="J26" s="150" t="e">
        <f>F28</f>
        <v>#N/A</v>
      </c>
      <c r="K26" s="150" t="e">
        <f>F29</f>
        <v>#N/A</v>
      </c>
      <c r="L26" s="385">
        <f>IF(I26=0,0,1)+I26</f>
        <v>1.2222222222222223</v>
      </c>
      <c r="M26" s="385" t="e">
        <f>IF(J26=0,0,1)+J26</f>
        <v>#N/A</v>
      </c>
      <c r="N26" s="385"/>
      <c r="O26" s="385" t="e">
        <f>IF(K26=0,0,1)+K26</f>
        <v>#N/A</v>
      </c>
      <c r="P26" s="385" t="e">
        <f>IF(J26=0,0,(L26*J26)+L26)</f>
        <v>#N/A</v>
      </c>
      <c r="Q26" s="385" t="e">
        <f>IF(K26=0,0,(M26*K26)+M26)</f>
        <v>#N/A</v>
      </c>
      <c r="R26" s="385" t="e">
        <f>IF(I26=0,0,(O26*I26)+O26)</f>
        <v>#N/A</v>
      </c>
      <c r="S26" s="385" t="e">
        <f>IF(K26=0,0,(P26*K26)+P26)</f>
        <v>#N/A</v>
      </c>
    </row>
    <row r="27" spans="1:23" ht="16.149999999999999" thickBot="1">
      <c r="A27" s="76"/>
      <c r="B27" s="89" t="str">
        <f>game1</f>
        <v>Spurs</v>
      </c>
      <c r="C27" s="156" t="s">
        <v>181</v>
      </c>
      <c r="D27" s="387">
        <f>INDEX(Picks!C:C,MATCH(B27,Picks!B:B,0))</f>
        <v>7</v>
      </c>
      <c r="E27" s="387">
        <f>INDEX(Picks!D:D,MATCH(B27,Picks!B:B,0))</f>
        <v>1.2222222222222223</v>
      </c>
      <c r="F27" s="387">
        <f>+((E27-1)*G27)</f>
        <v>0.22222222222222232</v>
      </c>
      <c r="G27" s="149">
        <v>1</v>
      </c>
      <c r="H27" s="80"/>
      <c r="I27" s="80"/>
      <c r="J27" s="80"/>
      <c r="K27" s="80"/>
      <c r="L27" s="383"/>
      <c r="M27" s="383"/>
      <c r="N27" s="383"/>
      <c r="O27" s="383"/>
      <c r="P27" s="383"/>
      <c r="Q27" s="383"/>
      <c r="R27" s="383"/>
      <c r="S27" s="383"/>
    </row>
    <row r="28" spans="1:23" ht="15.75">
      <c r="A28" s="76"/>
      <c r="B28" s="89" t="str">
        <f>game2</f>
        <v>Sunderland</v>
      </c>
      <c r="C28" s="160" t="s">
        <v>180</v>
      </c>
      <c r="D28" s="387" t="e">
        <f>INDEX(Picks!C:C,MATCH(B28,Picks!B:B,0))</f>
        <v>#N/A</v>
      </c>
      <c r="E28" s="387" t="e">
        <f>INDEX(Picks!D:D,MATCH(B28,Picks!B:B,0))</f>
        <v>#N/A</v>
      </c>
      <c r="F28" s="387" t="e">
        <f>+((E28-1)*G28)</f>
        <v>#N/A</v>
      </c>
      <c r="G28" s="149">
        <v>0</v>
      </c>
      <c r="H28" s="80"/>
      <c r="I28" s="80"/>
      <c r="J28" s="80"/>
      <c r="K28" s="80"/>
      <c r="L28" s="5" t="s">
        <v>13</v>
      </c>
      <c r="M28" s="5" t="s">
        <v>28</v>
      </c>
      <c r="N28" s="388"/>
      <c r="O28" s="389" t="s">
        <v>18</v>
      </c>
      <c r="P28" s="392"/>
      <c r="Q28" s="383"/>
      <c r="R28" s="383"/>
      <c r="S28" s="383"/>
    </row>
    <row r="29" spans="1:23" ht="16.149999999999999" thickBot="1">
      <c r="A29" s="76"/>
      <c r="B29" s="89" t="str">
        <f>game3</f>
        <v>Sheff U</v>
      </c>
      <c r="C29" s="156" t="s">
        <v>181</v>
      </c>
      <c r="D29" s="387" t="e">
        <f>INDEX(Picks!C:C,MATCH(B29,Picks!B:B,0))</f>
        <v>#N/A</v>
      </c>
      <c r="E29" s="387" t="e">
        <f>INDEX(Picks!D:D,MATCH(B29,Picks!B:B,0))</f>
        <v>#N/A</v>
      </c>
      <c r="F29" s="387" t="e">
        <f>+((E29-1)*G29)</f>
        <v>#N/A</v>
      </c>
      <c r="G29" s="149">
        <v>1</v>
      </c>
      <c r="H29" s="80"/>
      <c r="I29" s="80"/>
      <c r="J29" s="80"/>
      <c r="K29" s="80"/>
      <c r="L29" s="6">
        <f>SUM(G27:G29)</f>
        <v>2</v>
      </c>
      <c r="M29" s="7" t="e">
        <f>SUM(L26:S26)-7</f>
        <v>#N/A</v>
      </c>
      <c r="N29" s="390"/>
      <c r="O29" s="391" t="e">
        <f>$M$3+M29</f>
        <v>#N/A</v>
      </c>
      <c r="P29" s="392"/>
      <c r="Q29" s="383"/>
      <c r="R29" s="383"/>
      <c r="S29" s="383"/>
    </row>
    <row r="30" spans="1:23" ht="13.15">
      <c r="A30" s="76"/>
      <c r="B30" s="76"/>
      <c r="C30" s="76"/>
      <c r="D30" s="80"/>
      <c r="E30" s="80"/>
      <c r="F30" s="80"/>
      <c r="G30" s="80"/>
      <c r="H30" s="80"/>
      <c r="I30" s="76"/>
      <c r="J30" s="76"/>
      <c r="K30" s="80"/>
      <c r="L30" s="158"/>
      <c r="M30" s="159"/>
      <c r="N30" s="159"/>
      <c r="O30" s="392"/>
      <c r="P30" s="392"/>
      <c r="Q30" s="383"/>
      <c r="R30" s="383"/>
      <c r="S30" s="383"/>
    </row>
    <row r="31" spans="1:23">
      <c r="A31" s="76"/>
      <c r="B31" s="76"/>
      <c r="C31" s="76"/>
      <c r="D31" s="80"/>
      <c r="E31" s="80"/>
      <c r="F31" s="80"/>
      <c r="G31" s="80"/>
      <c r="H31" s="80"/>
      <c r="I31" s="76"/>
      <c r="J31" s="76"/>
      <c r="K31" s="76"/>
      <c r="L31" s="392"/>
      <c r="M31" s="392"/>
      <c r="N31" s="392"/>
      <c r="O31" s="392"/>
      <c r="P31" s="392"/>
      <c r="Q31" s="392"/>
      <c r="R31" s="392"/>
      <c r="S31" s="392"/>
    </row>
    <row r="32" spans="1:23">
      <c r="A32" s="76"/>
      <c r="B32" s="76"/>
      <c r="C32" s="153" t="s">
        <v>25</v>
      </c>
      <c r="D32" s="396" t="s">
        <v>356</v>
      </c>
      <c r="E32" s="153" t="s">
        <v>178</v>
      </c>
      <c r="F32" s="153" t="s">
        <v>178</v>
      </c>
      <c r="G32" s="153" t="s">
        <v>25</v>
      </c>
      <c r="H32" s="80"/>
      <c r="I32" s="80"/>
      <c r="J32" s="80"/>
      <c r="K32" s="80"/>
      <c r="L32" s="383" t="s">
        <v>171</v>
      </c>
      <c r="M32" s="383" t="s">
        <v>172</v>
      </c>
      <c r="N32" s="383"/>
      <c r="O32" s="383" t="s">
        <v>173</v>
      </c>
      <c r="P32" s="383" t="s">
        <v>174</v>
      </c>
      <c r="Q32" s="383" t="s">
        <v>175</v>
      </c>
      <c r="R32" s="383" t="s">
        <v>176</v>
      </c>
      <c r="S32" s="383" t="s">
        <v>177</v>
      </c>
    </row>
    <row r="33" spans="1:19">
      <c r="A33" s="76"/>
      <c r="B33" s="76"/>
      <c r="C33" s="154" t="s">
        <v>179</v>
      </c>
      <c r="D33" s="386" t="s">
        <v>158</v>
      </c>
      <c r="E33" s="155" t="s">
        <v>27</v>
      </c>
      <c r="F33" s="155" t="s">
        <v>27</v>
      </c>
      <c r="G33" s="155" t="s">
        <v>13</v>
      </c>
      <c r="H33" s="80"/>
      <c r="I33" s="150">
        <f>F34</f>
        <v>0.22222222222222232</v>
      </c>
      <c r="J33" s="150" t="e">
        <f>F35</f>
        <v>#N/A</v>
      </c>
      <c r="K33" s="150" t="e">
        <f>F36</f>
        <v>#N/A</v>
      </c>
      <c r="L33" s="385">
        <f>IF(I33=0,0,1)+I33</f>
        <v>1.2222222222222223</v>
      </c>
      <c r="M33" s="385" t="e">
        <f>IF(J33=0,0,1)+J33</f>
        <v>#N/A</v>
      </c>
      <c r="N33" s="385"/>
      <c r="O33" s="385" t="e">
        <f>IF(K33=0,0,1)+K33</f>
        <v>#N/A</v>
      </c>
      <c r="P33" s="385" t="e">
        <f>IF(J33=0,0,(L33*J33)+L33)</f>
        <v>#N/A</v>
      </c>
      <c r="Q33" s="385" t="e">
        <f>IF(K33=0,0,(M33*K33)+M33)</f>
        <v>#N/A</v>
      </c>
      <c r="R33" s="385" t="e">
        <f>IF(I33=0,0,(O33*I33)+O33)</f>
        <v>#N/A</v>
      </c>
      <c r="S33" s="385" t="e">
        <f>IF(K33=0,0,(P33*K33)+P33)</f>
        <v>#N/A</v>
      </c>
    </row>
    <row r="34" spans="1:19" ht="16.149999999999999" thickBot="1">
      <c r="A34" s="76"/>
      <c r="B34" s="89" t="str">
        <f>game1</f>
        <v>Spurs</v>
      </c>
      <c r="C34" s="156" t="s">
        <v>181</v>
      </c>
      <c r="D34" s="387">
        <f>INDEX(Picks!C:C,MATCH(B34,Picks!B:B,0))</f>
        <v>7</v>
      </c>
      <c r="E34" s="387">
        <f>INDEX(Picks!D:D,MATCH(B34,Picks!B:B,0))</f>
        <v>1.2222222222222223</v>
      </c>
      <c r="F34" s="387">
        <f>+((E34-1)*G34)</f>
        <v>0.22222222222222232</v>
      </c>
      <c r="G34" s="149">
        <v>1</v>
      </c>
      <c r="H34" s="80"/>
      <c r="I34" s="80"/>
      <c r="J34" s="80"/>
      <c r="K34" s="80"/>
      <c r="L34" s="80"/>
      <c r="M34" s="80"/>
      <c r="N34" s="80"/>
      <c r="O34" s="383"/>
      <c r="P34" s="383"/>
      <c r="Q34" s="383"/>
      <c r="R34" s="383"/>
      <c r="S34" s="383"/>
    </row>
    <row r="35" spans="1:19" ht="15.75">
      <c r="A35" s="76"/>
      <c r="B35" s="89" t="str">
        <f>game2</f>
        <v>Sunderland</v>
      </c>
      <c r="C35" s="160" t="s">
        <v>180</v>
      </c>
      <c r="D35" s="387" t="e">
        <f>INDEX(Picks!C:C,MATCH(B35,Picks!B:B,0))</f>
        <v>#N/A</v>
      </c>
      <c r="E35" s="387" t="e">
        <f>INDEX(Picks!D:D,MATCH(B35,Picks!B:B,0))</f>
        <v>#N/A</v>
      </c>
      <c r="F35" s="387" t="e">
        <f>+((E35-1)*G35)</f>
        <v>#N/A</v>
      </c>
      <c r="G35" s="149">
        <v>0</v>
      </c>
      <c r="H35" s="80"/>
      <c r="I35" s="80"/>
      <c r="J35" s="80"/>
      <c r="K35" s="80"/>
      <c r="L35" s="5" t="s">
        <v>13</v>
      </c>
      <c r="M35" s="5" t="s">
        <v>28</v>
      </c>
      <c r="N35" s="388"/>
      <c r="O35" s="389" t="s">
        <v>18</v>
      </c>
      <c r="P35" s="392"/>
      <c r="Q35" s="383"/>
      <c r="R35" s="383"/>
      <c r="S35" s="383"/>
    </row>
    <row r="36" spans="1:19" ht="16.149999999999999" thickBot="1">
      <c r="A36" s="76"/>
      <c r="B36" s="89" t="str">
        <f>game3</f>
        <v>Sheff U</v>
      </c>
      <c r="C36" s="160" t="s">
        <v>180</v>
      </c>
      <c r="D36" s="387" t="e">
        <f>INDEX(Picks!C:C,MATCH(B36,Picks!B:B,0))</f>
        <v>#N/A</v>
      </c>
      <c r="E36" s="387" t="e">
        <f>INDEX(Picks!D:D,MATCH(B36,Picks!B:B,0))</f>
        <v>#N/A</v>
      </c>
      <c r="F36" s="387" t="e">
        <f>+((E36-1)*G36)</f>
        <v>#N/A</v>
      </c>
      <c r="G36" s="149">
        <v>0</v>
      </c>
      <c r="H36" s="80"/>
      <c r="I36" s="80"/>
      <c r="J36" s="80"/>
      <c r="K36" s="80"/>
      <c r="L36" s="6">
        <f>SUM(G34:G36)</f>
        <v>1</v>
      </c>
      <c r="M36" s="7" t="e">
        <f>SUM(L33:S33)-7</f>
        <v>#N/A</v>
      </c>
      <c r="N36" s="390"/>
      <c r="O36" s="391" t="e">
        <f>$M$3+M36</f>
        <v>#N/A</v>
      </c>
      <c r="P36" s="392"/>
      <c r="Q36" s="383"/>
      <c r="R36" s="383"/>
      <c r="S36" s="383"/>
    </row>
    <row r="37" spans="1:19">
      <c r="A37" s="76"/>
      <c r="D37" s="1"/>
      <c r="E37" s="1"/>
      <c r="F37" s="1"/>
      <c r="G37" s="1"/>
      <c r="H37" s="80"/>
      <c r="I37" s="76"/>
      <c r="J37" s="76"/>
      <c r="K37" s="76"/>
      <c r="N37" s="76"/>
      <c r="O37" s="395"/>
      <c r="P37" s="395"/>
      <c r="Q37" s="395"/>
      <c r="R37" s="395"/>
      <c r="S37" s="395"/>
    </row>
    <row r="38" spans="1:19">
      <c r="A38" s="76"/>
      <c r="D38" s="1"/>
      <c r="E38" s="1"/>
      <c r="F38" s="1"/>
      <c r="G38" s="1"/>
      <c r="H38" s="1"/>
      <c r="I38" s="76"/>
      <c r="J38" s="76"/>
      <c r="K38" s="76"/>
      <c r="L38" s="392"/>
      <c r="M38" s="392"/>
      <c r="N38" s="392"/>
      <c r="O38" s="392"/>
      <c r="P38" s="392"/>
      <c r="Q38" s="392"/>
      <c r="R38" s="392"/>
      <c r="S38" s="392"/>
    </row>
    <row r="39" spans="1:19">
      <c r="A39" s="76"/>
      <c r="B39" s="76"/>
      <c r="C39" s="153" t="s">
        <v>25</v>
      </c>
      <c r="D39" s="396" t="s">
        <v>356</v>
      </c>
      <c r="E39" s="153" t="s">
        <v>178</v>
      </c>
      <c r="F39" s="153" t="s">
        <v>178</v>
      </c>
      <c r="G39" s="153" t="s">
        <v>25</v>
      </c>
      <c r="H39" s="80"/>
      <c r="I39" s="80"/>
      <c r="J39" s="80"/>
      <c r="K39" s="80"/>
      <c r="L39" s="383" t="s">
        <v>171</v>
      </c>
      <c r="M39" s="383" t="s">
        <v>172</v>
      </c>
      <c r="N39" s="383"/>
      <c r="O39" s="383" t="s">
        <v>173</v>
      </c>
      <c r="P39" s="383" t="s">
        <v>174</v>
      </c>
      <c r="Q39" s="383" t="s">
        <v>175</v>
      </c>
      <c r="R39" s="383" t="s">
        <v>176</v>
      </c>
      <c r="S39" s="383" t="s">
        <v>177</v>
      </c>
    </row>
    <row r="40" spans="1:19">
      <c r="A40" s="76"/>
      <c r="B40" s="76"/>
      <c r="C40" s="154" t="s">
        <v>179</v>
      </c>
      <c r="D40" s="386" t="s">
        <v>158</v>
      </c>
      <c r="E40" s="155" t="s">
        <v>27</v>
      </c>
      <c r="F40" s="155" t="s">
        <v>27</v>
      </c>
      <c r="G40" s="155" t="s">
        <v>13</v>
      </c>
      <c r="H40" s="80"/>
      <c r="I40" s="150">
        <f>F41</f>
        <v>0</v>
      </c>
      <c r="J40" s="150" t="e">
        <f>F42</f>
        <v>#N/A</v>
      </c>
      <c r="K40" s="150" t="e">
        <f>F43</f>
        <v>#N/A</v>
      </c>
      <c r="L40" s="385">
        <f>IF(I40=0,0,1)+I40</f>
        <v>0</v>
      </c>
      <c r="M40" s="385" t="e">
        <f>IF(J40=0,0,1)+J40</f>
        <v>#N/A</v>
      </c>
      <c r="N40" s="385"/>
      <c r="O40" s="385" t="e">
        <f>IF(K40=0,0,1)+K40</f>
        <v>#N/A</v>
      </c>
      <c r="P40" s="385" t="e">
        <f>IF(J40=0,0,(L40*J40)+L40)</f>
        <v>#N/A</v>
      </c>
      <c r="Q40" s="385" t="e">
        <f>IF(K40=0,0,(M40*K40)+M40)</f>
        <v>#N/A</v>
      </c>
      <c r="R40" s="385">
        <f>IF(I40=0,0,(O40*I40)+O40)</f>
        <v>0</v>
      </c>
      <c r="S40" s="385" t="e">
        <f>IF(K40=0,0,(P40*K40)+P40)</f>
        <v>#N/A</v>
      </c>
    </row>
    <row r="41" spans="1:19" ht="16.149999999999999" thickBot="1">
      <c r="A41" s="76"/>
      <c r="B41" s="89" t="str">
        <f>game1</f>
        <v>Spurs</v>
      </c>
      <c r="C41" s="160" t="s">
        <v>180</v>
      </c>
      <c r="D41" s="387">
        <f>INDEX(Picks!C:C,MATCH(B41,Picks!B:B,0))</f>
        <v>7</v>
      </c>
      <c r="E41" s="387">
        <f>INDEX(Picks!D:D,MATCH(B41,Picks!B:B,0))</f>
        <v>1.2222222222222223</v>
      </c>
      <c r="F41" s="387">
        <f>+((E41-1)*G41)</f>
        <v>0</v>
      </c>
      <c r="G41" s="149">
        <v>0</v>
      </c>
      <c r="H41" s="80"/>
      <c r="I41" s="80"/>
      <c r="J41" s="80"/>
      <c r="K41" s="80"/>
      <c r="L41" s="80"/>
      <c r="M41" s="80"/>
      <c r="N41" s="80"/>
      <c r="O41" s="383"/>
      <c r="P41" s="383"/>
      <c r="Q41" s="383"/>
      <c r="R41" s="383"/>
      <c r="S41" s="383"/>
    </row>
    <row r="42" spans="1:19" ht="15.75">
      <c r="A42" s="76"/>
      <c r="B42" s="89" t="str">
        <f>game2</f>
        <v>Sunderland</v>
      </c>
      <c r="C42" s="156" t="s">
        <v>181</v>
      </c>
      <c r="D42" s="387" t="e">
        <f>INDEX(Picks!C:C,MATCH(B42,Picks!B:B,0))</f>
        <v>#N/A</v>
      </c>
      <c r="E42" s="387" t="e">
        <f>INDEX(Picks!D:D,MATCH(B42,Picks!B:B,0))</f>
        <v>#N/A</v>
      </c>
      <c r="F42" s="387" t="e">
        <f>+((E42-1)*G42)</f>
        <v>#N/A</v>
      </c>
      <c r="G42" s="149">
        <v>1</v>
      </c>
      <c r="H42" s="80"/>
      <c r="I42" s="80"/>
      <c r="J42" s="80"/>
      <c r="K42" s="80"/>
      <c r="L42" s="5" t="s">
        <v>13</v>
      </c>
      <c r="M42" s="5" t="s">
        <v>28</v>
      </c>
      <c r="N42" s="388"/>
      <c r="O42" s="389" t="s">
        <v>18</v>
      </c>
      <c r="P42" s="392"/>
      <c r="Q42" s="383"/>
      <c r="R42" s="383"/>
      <c r="S42" s="383"/>
    </row>
    <row r="43" spans="1:19" ht="16.149999999999999" thickBot="1">
      <c r="A43" s="76"/>
      <c r="B43" s="89" t="str">
        <f>game3</f>
        <v>Sheff U</v>
      </c>
      <c r="C43" s="160" t="s">
        <v>180</v>
      </c>
      <c r="D43" s="387" t="e">
        <f>INDEX(Picks!C:C,MATCH(B43,Picks!B:B,0))</f>
        <v>#N/A</v>
      </c>
      <c r="E43" s="387" t="e">
        <f>INDEX(Picks!D:D,MATCH(B43,Picks!B:B,0))</f>
        <v>#N/A</v>
      </c>
      <c r="F43" s="387" t="e">
        <f>+((E43-1)*G43)</f>
        <v>#N/A</v>
      </c>
      <c r="G43" s="149">
        <v>0</v>
      </c>
      <c r="H43" s="80"/>
      <c r="I43" s="80"/>
      <c r="J43" s="80"/>
      <c r="K43" s="80"/>
      <c r="L43" s="6">
        <f>SUM(G41:G43)</f>
        <v>1</v>
      </c>
      <c r="M43" s="7" t="e">
        <f>SUM(L40:S40)-7</f>
        <v>#N/A</v>
      </c>
      <c r="N43" s="390"/>
      <c r="O43" s="391" t="e">
        <f>$M$3+M43</f>
        <v>#N/A</v>
      </c>
      <c r="P43" s="392"/>
      <c r="Q43" s="383"/>
      <c r="R43" s="383"/>
      <c r="S43" s="383"/>
    </row>
    <row r="44" spans="1:19">
      <c r="A44" s="76"/>
      <c r="B44" s="76"/>
      <c r="C44" s="76"/>
      <c r="D44" s="80"/>
      <c r="E44" s="80"/>
      <c r="F44" s="80"/>
      <c r="G44" s="80"/>
      <c r="H44" s="80"/>
      <c r="I44" s="76"/>
      <c r="J44" s="76"/>
      <c r="K44" s="76"/>
      <c r="L44" s="76"/>
      <c r="M44" s="76"/>
      <c r="N44" s="76"/>
      <c r="O44" s="392"/>
      <c r="P44" s="392"/>
      <c r="Q44" s="392"/>
      <c r="R44" s="392"/>
      <c r="S44" s="392"/>
    </row>
    <row r="45" spans="1:19">
      <c r="A45" s="76"/>
      <c r="B45" s="76"/>
      <c r="C45" s="76"/>
      <c r="D45" s="80"/>
      <c r="E45" s="80"/>
      <c r="F45" s="80"/>
      <c r="G45" s="80"/>
      <c r="H45" s="80"/>
      <c r="I45" s="76"/>
      <c r="J45" s="76"/>
      <c r="K45" s="76"/>
      <c r="L45" s="76"/>
      <c r="M45" s="76"/>
      <c r="N45" s="76"/>
      <c r="O45" s="392"/>
      <c r="P45" s="392"/>
      <c r="Q45" s="392"/>
      <c r="R45" s="392"/>
      <c r="S45" s="392"/>
    </row>
    <row r="46" spans="1:19">
      <c r="A46" s="76"/>
      <c r="B46" s="76"/>
      <c r="C46" s="153" t="s">
        <v>25</v>
      </c>
      <c r="D46" s="396" t="s">
        <v>356</v>
      </c>
      <c r="E46" s="153" t="s">
        <v>178</v>
      </c>
      <c r="F46" s="153" t="s">
        <v>178</v>
      </c>
      <c r="G46" s="153" t="s">
        <v>25</v>
      </c>
      <c r="H46" s="80"/>
      <c r="I46" s="80"/>
      <c r="J46" s="80"/>
      <c r="K46" s="80"/>
      <c r="L46" s="383" t="s">
        <v>171</v>
      </c>
      <c r="M46" s="383" t="s">
        <v>172</v>
      </c>
      <c r="N46" s="383"/>
      <c r="O46" s="383" t="s">
        <v>173</v>
      </c>
      <c r="P46" s="383" t="s">
        <v>174</v>
      </c>
      <c r="Q46" s="383" t="s">
        <v>175</v>
      </c>
      <c r="R46" s="383" t="s">
        <v>176</v>
      </c>
      <c r="S46" s="383" t="s">
        <v>177</v>
      </c>
    </row>
    <row r="47" spans="1:19">
      <c r="A47" s="76"/>
      <c r="B47" s="76"/>
      <c r="C47" s="154" t="s">
        <v>179</v>
      </c>
      <c r="D47" s="386" t="s">
        <v>158</v>
      </c>
      <c r="E47" s="155" t="s">
        <v>27</v>
      </c>
      <c r="F47" s="155" t="s">
        <v>27</v>
      </c>
      <c r="G47" s="155" t="s">
        <v>13</v>
      </c>
      <c r="H47" s="80"/>
      <c r="I47" s="150">
        <f>F48</f>
        <v>0</v>
      </c>
      <c r="J47" s="150" t="e">
        <f>F49</f>
        <v>#N/A</v>
      </c>
      <c r="K47" s="150" t="e">
        <f>F50</f>
        <v>#N/A</v>
      </c>
      <c r="L47" s="385">
        <f>IF(I47=0,0,1)+I47</f>
        <v>0</v>
      </c>
      <c r="M47" s="385" t="e">
        <f>IF(J47=0,0,1)+J47</f>
        <v>#N/A</v>
      </c>
      <c r="N47" s="385"/>
      <c r="O47" s="385" t="e">
        <f>IF(K47=0,0,1)+K47</f>
        <v>#N/A</v>
      </c>
      <c r="P47" s="385" t="e">
        <f>IF(J47=0,0,(L47*J47)+L47)</f>
        <v>#N/A</v>
      </c>
      <c r="Q47" s="385" t="e">
        <f>IF(K47=0,0,(M47*K47)+M47)</f>
        <v>#N/A</v>
      </c>
      <c r="R47" s="385">
        <f>IF(I47=0,0,(O47*I47)+O47)</f>
        <v>0</v>
      </c>
      <c r="S47" s="385" t="e">
        <f>IF(K47=0,0,(P47*K47)+P47)</f>
        <v>#N/A</v>
      </c>
    </row>
    <row r="48" spans="1:19" ht="16.149999999999999" thickBot="1">
      <c r="A48" s="76"/>
      <c r="B48" s="89" t="str">
        <f>game1</f>
        <v>Spurs</v>
      </c>
      <c r="C48" s="160" t="s">
        <v>180</v>
      </c>
      <c r="D48" s="387">
        <f>INDEX(Picks!C:C,MATCH(B48,Picks!B:B,0))</f>
        <v>7</v>
      </c>
      <c r="E48" s="387">
        <f>INDEX(Picks!D:D,MATCH(B48,Picks!B:B,0))</f>
        <v>1.2222222222222223</v>
      </c>
      <c r="F48" s="387">
        <f>+((E48-1)*G48)</f>
        <v>0</v>
      </c>
      <c r="G48" s="149">
        <v>0</v>
      </c>
      <c r="H48" s="80"/>
      <c r="I48" s="80"/>
      <c r="J48" s="80"/>
      <c r="K48" s="80"/>
      <c r="L48" s="80"/>
      <c r="M48" s="80"/>
      <c r="N48" s="80"/>
      <c r="O48" s="392"/>
      <c r="P48" s="392"/>
      <c r="Q48" s="392"/>
      <c r="R48" s="392"/>
      <c r="S48" s="392"/>
    </row>
    <row r="49" spans="1:19" ht="15.75">
      <c r="A49" s="76"/>
      <c r="B49" s="89" t="str">
        <f>game2</f>
        <v>Sunderland</v>
      </c>
      <c r="C49" s="160" t="s">
        <v>180</v>
      </c>
      <c r="D49" s="387" t="e">
        <f>INDEX(Picks!C:C,MATCH(B49,Picks!B:B,0))</f>
        <v>#N/A</v>
      </c>
      <c r="E49" s="387" t="e">
        <f>INDEX(Picks!D:D,MATCH(B49,Picks!B:B,0))</f>
        <v>#N/A</v>
      </c>
      <c r="F49" s="387" t="e">
        <f>+((E49-1)*G49)</f>
        <v>#N/A</v>
      </c>
      <c r="G49" s="149">
        <v>0</v>
      </c>
      <c r="H49" s="80"/>
      <c r="I49" s="80"/>
      <c r="J49" s="80"/>
      <c r="K49" s="80"/>
      <c r="L49" s="5" t="s">
        <v>13</v>
      </c>
      <c r="M49" s="5" t="s">
        <v>28</v>
      </c>
      <c r="N49" s="388"/>
      <c r="O49" s="389" t="s">
        <v>18</v>
      </c>
      <c r="P49" s="392"/>
      <c r="Q49" s="392"/>
      <c r="R49" s="392"/>
      <c r="S49" s="392"/>
    </row>
    <row r="50" spans="1:19" ht="16.149999999999999" thickBot="1">
      <c r="A50" s="76"/>
      <c r="B50" s="89" t="str">
        <f>game3</f>
        <v>Sheff U</v>
      </c>
      <c r="C50" s="156" t="s">
        <v>181</v>
      </c>
      <c r="D50" s="387" t="e">
        <f>INDEX(Picks!C:C,MATCH(B50,Picks!B:B,0))</f>
        <v>#N/A</v>
      </c>
      <c r="E50" s="387" t="e">
        <f>INDEX(Picks!D:D,MATCH(B50,Picks!B:B,0))</f>
        <v>#N/A</v>
      </c>
      <c r="F50" s="387" t="e">
        <f>+((E50-1)*G50)</f>
        <v>#N/A</v>
      </c>
      <c r="G50" s="149">
        <v>1</v>
      </c>
      <c r="H50" s="80"/>
      <c r="I50" s="80"/>
      <c r="J50" s="80"/>
      <c r="K50" s="80"/>
      <c r="L50" s="6">
        <f>SUM(G48:G50)</f>
        <v>1</v>
      </c>
      <c r="M50" s="7" t="e">
        <f>SUM(L47:S47)-7</f>
        <v>#N/A</v>
      </c>
      <c r="N50" s="390"/>
      <c r="O50" s="391" t="e">
        <f>$M$3+M50</f>
        <v>#N/A</v>
      </c>
      <c r="P50" s="392"/>
      <c r="Q50" s="392"/>
      <c r="R50" s="392"/>
      <c r="S50" s="392"/>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17"/>
    <col min="2" max="2" width="118.73046875" style="217" customWidth="1"/>
    <col min="3" max="3" width="20.265625" style="217" customWidth="1"/>
    <col min="4" max="16384" width="9.1328125" style="217"/>
  </cols>
  <sheetData>
    <row r="1" spans="1:2">
      <c r="A1" s="363" t="s">
        <v>342</v>
      </c>
    </row>
    <row r="2" spans="1:2" ht="45">
      <c r="B2" s="216" t="s">
        <v>195</v>
      </c>
    </row>
    <row r="3" spans="1:2">
      <c r="B3" s="218"/>
    </row>
    <row r="4" spans="1:2" ht="60.4">
      <c r="B4" s="219" t="s">
        <v>196</v>
      </c>
    </row>
    <row r="5" spans="1:2">
      <c r="B5" s="218"/>
    </row>
    <row r="6" spans="1:2" ht="45">
      <c r="B6" s="216" t="s">
        <v>197</v>
      </c>
    </row>
    <row r="7" spans="1:2">
      <c r="B7" s="218"/>
    </row>
    <row r="8" spans="1:2" ht="60">
      <c r="B8" s="216" t="s">
        <v>198</v>
      </c>
    </row>
    <row r="9" spans="1:2">
      <c r="B9" s="218"/>
    </row>
    <row r="10" spans="1:2" ht="30">
      <c r="B10" s="220" t="s">
        <v>192</v>
      </c>
    </row>
    <row r="11" spans="1:2">
      <c r="B11" s="221"/>
    </row>
    <row r="12" spans="1:2">
      <c r="B12" s="221"/>
    </row>
    <row r="13" spans="1:2">
      <c r="B13" s="218"/>
    </row>
    <row r="14" spans="1:2">
      <c r="B14" s="218"/>
    </row>
    <row r="15" spans="1:2">
      <c r="B15" s="218"/>
    </row>
    <row r="16" spans="1:2">
      <c r="B16" s="218"/>
    </row>
    <row r="17" spans="2:2">
      <c r="B17" s="218"/>
    </row>
    <row r="18" spans="2:2">
      <c r="B18" s="218"/>
    </row>
    <row r="19" spans="2:2">
      <c r="B19" s="220" t="s">
        <v>193</v>
      </c>
    </row>
    <row r="20" spans="2:2">
      <c r="B20" s="221"/>
    </row>
    <row r="21" spans="2:2">
      <c r="B21" s="221"/>
    </row>
    <row r="22" spans="2:2">
      <c r="B22" s="218"/>
    </row>
    <row r="23" spans="2:2">
      <c r="B23" s="218"/>
    </row>
    <row r="24" spans="2:2">
      <c r="B24" s="218"/>
    </row>
    <row r="25" spans="2:2">
      <c r="B25" s="218"/>
    </row>
    <row r="26" spans="2:2">
      <c r="B26" s="218"/>
    </row>
    <row r="27" spans="2:2">
      <c r="B27" s="218"/>
    </row>
    <row r="28" spans="2:2">
      <c r="B28" s="220" t="s">
        <v>194</v>
      </c>
    </row>
    <row r="29" spans="2:2">
      <c r="B29" s="221"/>
    </row>
    <row r="30" spans="2:2">
      <c r="B30" s="221"/>
    </row>
    <row r="31" spans="2:2">
      <c r="B31" s="218"/>
    </row>
    <row r="32" spans="2:2">
      <c r="B32" s="218"/>
    </row>
    <row r="33" spans="2:2">
      <c r="B33" s="218"/>
    </row>
    <row r="34" spans="2:2">
      <c r="B34" s="218"/>
    </row>
    <row r="35" spans="2:2">
      <c r="B35" s="218"/>
    </row>
    <row r="36" spans="2:2">
      <c r="B36" s="218"/>
    </row>
    <row r="37" spans="2:2">
      <c r="B37" s="220" t="s">
        <v>199</v>
      </c>
    </row>
    <row r="38" spans="2:2">
      <c r="B38" s="222"/>
    </row>
    <row r="39" spans="2:2">
      <c r="B39" s="222"/>
    </row>
    <row r="40" spans="2:2">
      <c r="B40" s="218"/>
    </row>
    <row r="41" spans="2:2">
      <c r="B41" s="218"/>
    </row>
    <row r="42" spans="2:2">
      <c r="B42" s="218"/>
    </row>
    <row r="43" spans="2:2">
      <c r="B43" s="218"/>
    </row>
    <row r="44" spans="2:2">
      <c r="B44" s="218"/>
    </row>
    <row r="45" spans="2:2">
      <c r="B45" s="218"/>
    </row>
    <row r="46" spans="2:2" ht="46.15">
      <c r="B46" s="223" t="s">
        <v>200</v>
      </c>
    </row>
    <row r="47" spans="2:2">
      <c r="B47" s="218"/>
    </row>
    <row r="48" spans="2:2" ht="45">
      <c r="B48" s="216" t="s">
        <v>201</v>
      </c>
    </row>
    <row r="49" spans="2:2">
      <c r="B49" s="218"/>
    </row>
    <row r="50" spans="2:2" ht="45">
      <c r="B50" s="216" t="s">
        <v>202</v>
      </c>
    </row>
    <row r="51" spans="2:2">
      <c r="B51" s="218"/>
    </row>
    <row r="52" spans="2:2" ht="75">
      <c r="B52" s="216" t="s">
        <v>203</v>
      </c>
    </row>
    <row r="53" spans="2:2">
      <c r="B53" s="218"/>
    </row>
    <row r="54" spans="2:2" ht="45">
      <c r="B54" s="224" t="s">
        <v>212</v>
      </c>
    </row>
    <row r="55" spans="2:2">
      <c r="B55" s="218"/>
    </row>
    <row r="56" spans="2:2" ht="45">
      <c r="B56" s="216" t="s">
        <v>204</v>
      </c>
    </row>
    <row r="57" spans="2:2">
      <c r="B57" s="218"/>
    </row>
    <row r="58" spans="2:2" ht="30">
      <c r="B58" s="216" t="s">
        <v>205</v>
      </c>
    </row>
    <row r="59" spans="2:2">
      <c r="B59" s="218"/>
    </row>
    <row r="60" spans="2:2" ht="60">
      <c r="B60" s="216" t="s">
        <v>206</v>
      </c>
    </row>
    <row r="61" spans="2:2">
      <c r="B61" s="218"/>
    </row>
    <row r="62" spans="2:2" ht="60">
      <c r="B62" s="216" t="s">
        <v>207</v>
      </c>
    </row>
    <row r="63" spans="2:2">
      <c r="B63" s="218"/>
    </row>
    <row r="64" spans="2:2" ht="45">
      <c r="B64" s="216" t="s">
        <v>208</v>
      </c>
    </row>
    <row r="65" spans="2:2">
      <c r="B65" s="218"/>
    </row>
    <row r="66" spans="2:2" ht="30">
      <c r="B66" s="216" t="s">
        <v>209</v>
      </c>
    </row>
    <row r="67" spans="2:2">
      <c r="B67" s="218"/>
    </row>
    <row r="68" spans="2:2" ht="30">
      <c r="B68" s="216" t="s">
        <v>210</v>
      </c>
    </row>
    <row r="69" spans="2:2">
      <c r="B69" s="218"/>
    </row>
    <row r="70" spans="2:2" ht="60">
      <c r="B70" s="224" t="s">
        <v>213</v>
      </c>
    </row>
    <row r="71" spans="2:2">
      <c r="B71" s="218"/>
    </row>
    <row r="72" spans="2:2" ht="45">
      <c r="B72" s="216" t="s">
        <v>211</v>
      </c>
    </row>
    <row r="73" spans="2:2">
      <c r="B73" s="218"/>
    </row>
    <row r="74" spans="2:2" ht="30">
      <c r="B74" s="224" t="s">
        <v>214</v>
      </c>
    </row>
    <row r="75" spans="2:2">
      <c r="B75" s="218"/>
    </row>
    <row r="76" spans="2:2" ht="30">
      <c r="B76" s="224" t="s">
        <v>215</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filterMode="1">
    <tabColor rgb="FF7030A0"/>
    <pageSetUpPr fitToPage="1"/>
  </sheetPr>
  <dimension ref="A1:EG73"/>
  <sheetViews>
    <sheetView zoomScaleNormal="100" workbookViewId="0">
      <pane xSplit="5" ySplit="1" topLeftCell="AW23" activePane="bottomRight" state="frozen"/>
      <selection pane="topRight" activeCell="G1" sqref="G1"/>
      <selection pane="bottomLeft" activeCell="A2" sqref="A2"/>
      <selection pane="bottomRight" activeCell="AY24" sqref="AY24"/>
    </sheetView>
  </sheetViews>
  <sheetFormatPr defaultColWidth="9.1328125" defaultRowHeight="11.65"/>
  <cols>
    <col min="1" max="1" width="11.3984375" style="247" customWidth="1"/>
    <col min="2" max="2" width="10.3984375" style="247" customWidth="1"/>
    <col min="3" max="3" width="11" style="247" customWidth="1"/>
    <col min="4" max="4" width="6" style="291" customWidth="1"/>
    <col min="5" max="5" width="23.1328125" style="233" customWidth="1"/>
    <col min="6" max="6" width="10.1328125" style="245" customWidth="1"/>
    <col min="7" max="7" width="9.265625" style="48" customWidth="1"/>
    <col min="8" max="8" width="8.265625" style="245" customWidth="1"/>
    <col min="9" max="9" width="8.59765625" style="132" customWidth="1"/>
    <col min="10" max="10" width="8.86328125" style="51" customWidth="1"/>
    <col min="11" max="11" width="8.3984375" style="48" customWidth="1"/>
    <col min="12" max="12" width="10.265625" style="48" customWidth="1"/>
    <col min="13" max="13" width="11" style="48" customWidth="1"/>
    <col min="14" max="14" width="9.3984375" style="52" customWidth="1"/>
    <col min="15" max="15" width="9.3984375" style="48" customWidth="1"/>
    <col min="16" max="16" width="9.3984375" style="51" customWidth="1"/>
    <col min="17" max="17" width="9.3984375" style="50" customWidth="1"/>
    <col min="18" max="18" width="9.3984375" style="48" customWidth="1"/>
    <col min="19" max="19" width="9.3984375" style="51" customWidth="1"/>
    <col min="20" max="20" width="9.3984375" style="52" customWidth="1"/>
    <col min="21" max="21" width="9.3984375" style="53" customWidth="1"/>
    <col min="22" max="22" width="9.3984375" style="51" customWidth="1"/>
    <col min="23" max="23" width="9.3984375" style="50" customWidth="1"/>
    <col min="24" max="24" width="9.3984375" style="48" customWidth="1"/>
    <col min="25" max="25" width="9.3984375" style="51" customWidth="1"/>
    <col min="26" max="26" width="9.3984375" style="52" customWidth="1"/>
    <col min="27" max="27" width="9.3984375" style="53" customWidth="1"/>
    <col min="28" max="28" width="9.3984375" style="51" customWidth="1"/>
    <col min="29" max="29" width="9.3984375" style="47" customWidth="1"/>
    <col min="30" max="30" width="9.3984375" style="48" customWidth="1"/>
    <col min="31" max="31" width="9.3984375" style="51" customWidth="1"/>
    <col min="32" max="32" width="9.3984375" style="52" customWidth="1"/>
    <col min="33" max="33" width="9.3984375" style="53" customWidth="1"/>
    <col min="34" max="34" width="9.3984375" style="51" customWidth="1"/>
    <col min="35" max="35" width="9.3984375" style="47" customWidth="1"/>
    <col min="36" max="36" width="9.3984375" style="48" customWidth="1"/>
    <col min="37" max="37" width="9.3984375" style="51" customWidth="1"/>
    <col min="38" max="38" width="9.3984375" style="52" customWidth="1"/>
    <col min="39" max="39" width="9.3984375" style="53" customWidth="1"/>
    <col min="40" max="40" width="9.3984375" style="51" customWidth="1"/>
    <col min="41" max="41" width="9.3984375" style="47" customWidth="1"/>
    <col min="42" max="42" width="9.3984375" style="48" customWidth="1"/>
    <col min="43" max="43" width="9.3984375" style="51" customWidth="1"/>
    <col min="44" max="44" width="9.3984375" style="52" customWidth="1"/>
    <col min="45" max="45" width="9.3984375" style="53" customWidth="1"/>
    <col min="46" max="46" width="9.3984375" style="51" customWidth="1"/>
    <col min="47" max="47" width="9.3984375" style="47" customWidth="1"/>
    <col min="48" max="48" width="9.3984375" style="48" customWidth="1"/>
    <col min="49" max="49" width="9.3984375" style="51" customWidth="1"/>
    <col min="50" max="50" width="9.3984375" style="52" customWidth="1"/>
    <col min="51" max="51" width="9.3984375" style="53" customWidth="1"/>
    <col min="52" max="52" width="9.3984375" style="51" customWidth="1"/>
    <col min="53" max="53" width="9.3984375" style="47" customWidth="1"/>
    <col min="54" max="54" width="9.3984375" style="48" customWidth="1"/>
    <col min="55" max="55" width="9.3984375" style="51" customWidth="1"/>
    <col min="56" max="56" width="9.3984375" style="52" customWidth="1"/>
    <col min="57" max="57" width="9.3984375" style="53" customWidth="1"/>
    <col min="58" max="58" width="9.3984375" style="51" customWidth="1"/>
    <col min="59" max="59" width="9.3984375" style="47" customWidth="1"/>
    <col min="60" max="60" width="9.3984375" style="98" customWidth="1"/>
    <col min="61" max="61" width="9.3984375" style="51" customWidth="1"/>
    <col min="62" max="62" width="9.3984375" style="52" customWidth="1"/>
    <col min="63" max="63" width="9.3984375" style="53" customWidth="1"/>
    <col min="64" max="64" width="9.3984375" style="51" customWidth="1"/>
    <col min="65" max="65" width="9.3984375" style="47" customWidth="1"/>
    <col min="66" max="66" width="9.3984375" style="98" customWidth="1"/>
    <col min="67" max="67" width="9.3984375" style="51" customWidth="1"/>
    <col min="68" max="68" width="9.3984375" style="52" customWidth="1"/>
    <col min="69" max="69" width="9.3984375" style="53" customWidth="1"/>
    <col min="70" max="70" width="9.3984375" style="51" customWidth="1"/>
    <col min="71" max="71" width="9.3984375" style="47" customWidth="1"/>
    <col min="72" max="72" width="9.3984375" style="48" customWidth="1"/>
    <col min="73" max="73" width="9.3984375" style="51" customWidth="1"/>
    <col min="74" max="74" width="9.3984375" style="50" customWidth="1"/>
    <col min="75" max="75" width="9.3984375" style="48" customWidth="1"/>
    <col min="76" max="76" width="9.3984375" style="51" customWidth="1"/>
    <col min="77" max="129" width="9.1328125" style="47" customWidth="1"/>
    <col min="130" max="137" width="9.1328125" style="49" customWidth="1"/>
    <col min="138" max="16384" width="9.1328125" style="46"/>
  </cols>
  <sheetData>
    <row r="1" spans="1:137" s="325" customFormat="1" ht="44.25" customHeight="1">
      <c r="A1" s="309" t="s">
        <v>100</v>
      </c>
      <c r="B1" s="309" t="s">
        <v>101</v>
      </c>
      <c r="C1" s="309" t="s">
        <v>344</v>
      </c>
      <c r="D1" s="310" t="s">
        <v>222</v>
      </c>
      <c r="E1" s="311" t="s">
        <v>16</v>
      </c>
      <c r="F1" s="425" t="s">
        <v>416</v>
      </c>
      <c r="G1" s="426" t="s">
        <v>268</v>
      </c>
      <c r="H1" s="425" t="s">
        <v>126</v>
      </c>
      <c r="I1" s="427" t="s">
        <v>417</v>
      </c>
      <c r="J1" s="313" t="s">
        <v>225</v>
      </c>
      <c r="K1" s="314" t="s">
        <v>167</v>
      </c>
      <c r="L1" s="314" t="s">
        <v>418</v>
      </c>
      <c r="M1" s="312" t="s">
        <v>231</v>
      </c>
      <c r="N1" s="315" t="s">
        <v>58</v>
      </c>
      <c r="O1" s="316" t="s">
        <v>59</v>
      </c>
      <c r="P1" s="317" t="s">
        <v>103</v>
      </c>
      <c r="Q1" s="318" t="s">
        <v>60</v>
      </c>
      <c r="R1" s="319" t="s">
        <v>61</v>
      </c>
      <c r="S1" s="320" t="s">
        <v>104</v>
      </c>
      <c r="T1" s="315" t="s">
        <v>62</v>
      </c>
      <c r="U1" s="321" t="s">
        <v>63</v>
      </c>
      <c r="V1" s="317" t="s">
        <v>105</v>
      </c>
      <c r="W1" s="318" t="s">
        <v>64</v>
      </c>
      <c r="X1" s="319" t="s">
        <v>65</v>
      </c>
      <c r="Y1" s="320" t="s">
        <v>106</v>
      </c>
      <c r="Z1" s="315" t="s">
        <v>66</v>
      </c>
      <c r="AA1" s="321" t="s">
        <v>67</v>
      </c>
      <c r="AB1" s="317" t="s">
        <v>107</v>
      </c>
      <c r="AC1" s="318" t="s">
        <v>68</v>
      </c>
      <c r="AD1" s="319" t="s">
        <v>69</v>
      </c>
      <c r="AE1" s="320" t="s">
        <v>108</v>
      </c>
      <c r="AF1" s="315" t="s">
        <v>70</v>
      </c>
      <c r="AG1" s="321" t="s">
        <v>71</v>
      </c>
      <c r="AH1" s="317" t="s">
        <v>109</v>
      </c>
      <c r="AI1" s="318" t="s">
        <v>72</v>
      </c>
      <c r="AJ1" s="319" t="s">
        <v>73</v>
      </c>
      <c r="AK1" s="320" t="s">
        <v>110</v>
      </c>
      <c r="AL1" s="315" t="s">
        <v>74</v>
      </c>
      <c r="AM1" s="321" t="s">
        <v>75</v>
      </c>
      <c r="AN1" s="317" t="s">
        <v>111</v>
      </c>
      <c r="AO1" s="318" t="s">
        <v>76</v>
      </c>
      <c r="AP1" s="319" t="s">
        <v>77</v>
      </c>
      <c r="AQ1" s="320" t="s">
        <v>112</v>
      </c>
      <c r="AR1" s="315" t="s">
        <v>78</v>
      </c>
      <c r="AS1" s="321" t="s">
        <v>79</v>
      </c>
      <c r="AT1" s="317" t="s">
        <v>113</v>
      </c>
      <c r="AU1" s="318" t="s">
        <v>80</v>
      </c>
      <c r="AV1" s="319" t="s">
        <v>81</v>
      </c>
      <c r="AW1" s="320" t="s">
        <v>114</v>
      </c>
      <c r="AX1" s="315" t="s">
        <v>82</v>
      </c>
      <c r="AY1" s="321" t="s">
        <v>86</v>
      </c>
      <c r="AZ1" s="317" t="s">
        <v>115</v>
      </c>
      <c r="BA1" s="318" t="s">
        <v>87</v>
      </c>
      <c r="BB1" s="319" t="s">
        <v>83</v>
      </c>
      <c r="BC1" s="320" t="s">
        <v>116</v>
      </c>
      <c r="BD1" s="315" t="s">
        <v>84</v>
      </c>
      <c r="BE1" s="321" t="s">
        <v>85</v>
      </c>
      <c r="BF1" s="317" t="s">
        <v>117</v>
      </c>
      <c r="BG1" s="318" t="s">
        <v>88</v>
      </c>
      <c r="BH1" s="322" t="s">
        <v>89</v>
      </c>
      <c r="BI1" s="320" t="s">
        <v>118</v>
      </c>
      <c r="BJ1" s="315" t="s">
        <v>90</v>
      </c>
      <c r="BK1" s="321" t="s">
        <v>91</v>
      </c>
      <c r="BL1" s="317" t="s">
        <v>119</v>
      </c>
      <c r="BM1" s="318" t="s">
        <v>92</v>
      </c>
      <c r="BN1" s="322" t="s">
        <v>93</v>
      </c>
      <c r="BO1" s="320" t="s">
        <v>120</v>
      </c>
      <c r="BP1" s="315" t="s">
        <v>94</v>
      </c>
      <c r="BQ1" s="321" t="s">
        <v>95</v>
      </c>
      <c r="BR1" s="317" t="s">
        <v>121</v>
      </c>
      <c r="BS1" s="318" t="s">
        <v>96</v>
      </c>
      <c r="BT1" s="319" t="s">
        <v>97</v>
      </c>
      <c r="BU1" s="320" t="s">
        <v>122</v>
      </c>
      <c r="BV1" s="318" t="s">
        <v>98</v>
      </c>
      <c r="BW1" s="319" t="s">
        <v>99</v>
      </c>
      <c r="BX1" s="320" t="s">
        <v>123</v>
      </c>
      <c r="BY1" s="323"/>
      <c r="BZ1" s="323"/>
      <c r="CA1" s="323"/>
      <c r="CB1" s="323"/>
      <c r="CC1" s="323"/>
      <c r="CD1" s="323"/>
      <c r="CE1" s="323"/>
      <c r="CF1" s="323"/>
      <c r="CG1" s="323"/>
      <c r="CH1" s="323"/>
      <c r="CI1" s="323"/>
      <c r="CJ1" s="323"/>
      <c r="CK1" s="323"/>
      <c r="CL1" s="323"/>
      <c r="CM1" s="323"/>
      <c r="CN1" s="323"/>
      <c r="CO1" s="323"/>
      <c r="CP1" s="323"/>
      <c r="CQ1" s="323"/>
      <c r="CR1" s="323"/>
      <c r="CS1" s="323"/>
      <c r="CT1" s="323"/>
      <c r="CU1" s="323"/>
      <c r="CV1" s="323"/>
      <c r="CW1" s="323"/>
      <c r="CX1" s="323"/>
      <c r="CY1" s="323"/>
      <c r="CZ1" s="323"/>
      <c r="DA1" s="323"/>
      <c r="DB1" s="323"/>
      <c r="DC1" s="323"/>
      <c r="DD1" s="323"/>
      <c r="DE1" s="323"/>
      <c r="DF1" s="323"/>
      <c r="DG1" s="323"/>
      <c r="DH1" s="323"/>
      <c r="DI1" s="323"/>
      <c r="DJ1" s="323"/>
      <c r="DK1" s="323"/>
      <c r="DL1" s="323"/>
      <c r="DM1" s="323"/>
      <c r="DN1" s="323"/>
      <c r="DO1" s="323"/>
      <c r="DP1" s="323"/>
      <c r="DQ1" s="323"/>
      <c r="DR1" s="323"/>
      <c r="DS1" s="323"/>
      <c r="DT1" s="323"/>
      <c r="DU1" s="323"/>
      <c r="DV1" s="323"/>
      <c r="DW1" s="323"/>
      <c r="DX1" s="324"/>
      <c r="DY1" s="324"/>
      <c r="DZ1" s="324"/>
      <c r="EA1" s="324"/>
      <c r="EB1" s="324"/>
      <c r="EC1" s="324"/>
      <c r="ED1" s="324"/>
      <c r="EE1" s="324"/>
    </row>
    <row r="2" spans="1:137" hidden="1">
      <c r="A2" s="246">
        <f t="shared" ref="A2:A33" si="0">_xlfn.RANK.EQ(F2,totalscores,0)</f>
        <v>21</v>
      </c>
      <c r="B2" s="246">
        <f t="shared" ref="B2:B51" si="1">_xlfn.RANK.EQ(H2,thisweekscore,0)</f>
        <v>18</v>
      </c>
      <c r="C2" s="246">
        <v>34</v>
      </c>
      <c r="D2" s="290" t="str">
        <f>INDEX(Table!E:E,MATCH(E2,Table!F:F,0))</f>
        <v>B</v>
      </c>
      <c r="E2" s="232" t="s">
        <v>505</v>
      </c>
      <c r="F2" s="244">
        <f t="shared" ref="F2:F33" si="2">+N2+Q2+T2+W2+Z2+AC2+AF2+AI2+AL2+AO2+AR2+AU2+AX2+BA2+BD2+BG2+BJ2+BM2+BP2+BS2</f>
        <v>-23.145454545454541</v>
      </c>
      <c r="G2" s="54">
        <f t="shared" ref="G2:G33" si="3">+O2+R2+U2+X2+AA2+AD2+AG2+AJ2+AM2+AP2+AS2+AV2+AY2+BB2+BE2+BH2+BK2+BN2+BQ2+BT2</f>
        <v>14</v>
      </c>
      <c r="H2" s="639">
        <v>-3.5</v>
      </c>
      <c r="I2" s="640">
        <v>1</v>
      </c>
      <c r="J2" s="234">
        <f>P2+S2+V2+Y2+AB2+AE2+AH2+AK2+AN2+AQ2+AT2+AW2+AZ2+BC2+BF2+BI2+BL2+BO2+BR2+BU2</f>
        <v>15</v>
      </c>
      <c r="K2" s="235"/>
      <c r="L2" s="235">
        <f>INDEX(Table!M:M,MATCH(E2,Table!F:F,0))</f>
        <v>0</v>
      </c>
      <c r="M2" s="234">
        <f>K2+J2+L2</f>
        <v>15</v>
      </c>
      <c r="N2" s="236">
        <v>-7</v>
      </c>
      <c r="O2" s="237">
        <v>0</v>
      </c>
      <c r="P2" s="238"/>
      <c r="Q2" s="239">
        <v>-3.4</v>
      </c>
      <c r="R2" s="240">
        <v>1</v>
      </c>
      <c r="S2" s="241"/>
      <c r="T2" s="236">
        <v>-7</v>
      </c>
      <c r="U2" s="242">
        <v>0</v>
      </c>
      <c r="V2" s="238"/>
      <c r="W2" s="239">
        <v>-3.2</v>
      </c>
      <c r="X2" s="240">
        <v>1</v>
      </c>
      <c r="Y2" s="241"/>
      <c r="Z2" s="236">
        <v>-3.3</v>
      </c>
      <c r="AA2" s="242">
        <v>1</v>
      </c>
      <c r="AB2" s="238"/>
      <c r="AC2" s="239">
        <v>-7</v>
      </c>
      <c r="AD2" s="240">
        <v>0</v>
      </c>
      <c r="AE2" s="241"/>
      <c r="AF2" s="236">
        <v>12.68</v>
      </c>
      <c r="AG2" s="242">
        <v>2</v>
      </c>
      <c r="AH2" s="238">
        <v>5</v>
      </c>
      <c r="AI2" s="239">
        <v>-7</v>
      </c>
      <c r="AJ2" s="240">
        <v>0</v>
      </c>
      <c r="AK2" s="241"/>
      <c r="AL2" s="236">
        <v>14.54</v>
      </c>
      <c r="AM2" s="242">
        <v>2</v>
      </c>
      <c r="AN2" s="238">
        <v>10</v>
      </c>
      <c r="AO2" s="239">
        <v>-3.5454545454545454</v>
      </c>
      <c r="AP2" s="240">
        <v>1</v>
      </c>
      <c r="AQ2" s="241"/>
      <c r="AR2" s="236">
        <v>-3.6</v>
      </c>
      <c r="AS2" s="242">
        <v>1</v>
      </c>
      <c r="AT2" s="238"/>
      <c r="AU2" s="239">
        <v>-3.3</v>
      </c>
      <c r="AV2" s="240">
        <v>1</v>
      </c>
      <c r="AW2" s="241"/>
      <c r="AX2" s="236">
        <v>4.8800000000000008</v>
      </c>
      <c r="AY2" s="242">
        <v>2</v>
      </c>
      <c r="AZ2" s="238"/>
      <c r="BA2" s="239">
        <v>-3.4</v>
      </c>
      <c r="BB2" s="240">
        <v>1</v>
      </c>
      <c r="BC2" s="241"/>
      <c r="BD2" s="236">
        <v>-3.5</v>
      </c>
      <c r="BE2" s="242">
        <v>1</v>
      </c>
      <c r="BF2" s="238"/>
      <c r="BG2" s="239"/>
      <c r="BH2" s="243"/>
      <c r="BI2" s="241"/>
      <c r="BJ2" s="236"/>
      <c r="BK2" s="242"/>
      <c r="BL2" s="238"/>
      <c r="BM2" s="239"/>
      <c r="BN2" s="243"/>
      <c r="BO2" s="241"/>
      <c r="BP2" s="236"/>
      <c r="BQ2" s="242"/>
      <c r="BR2" s="238"/>
      <c r="BS2" s="239"/>
      <c r="BT2" s="240"/>
      <c r="BU2" s="241"/>
      <c r="BV2" s="239">
        <f t="shared" ref="BV2:BV33" si="4">BS2+BP2+BM2+BJ2+BG2+BD2+BA2+AX2+AU2+AR2+AO2+AL2+AI2+AF2+AC2+Z2+W2+T2+Q2+N2</f>
        <v>-23.145454545454545</v>
      </c>
      <c r="BW2" s="240">
        <f t="shared" ref="BW2:BW33" si="5">BT2+BQ2+BN2+BK2+BH2+BE2+BB2+AY2+AV2+AS2+AP2+AM2+AJ2+AG2+AD2+AA2+X2+U2+R2+O2</f>
        <v>14</v>
      </c>
      <c r="BX2" s="241">
        <f t="shared" ref="BX2:BX33" si="6">BU2+BR2+BO2+BL2+BI2+BF2+BC2+AZ2+AW2+AT2+AQ2+AN2+AK2+AH2+AE2+AB2+Y2+V2+S2+P2</f>
        <v>15</v>
      </c>
      <c r="BY2" s="48"/>
      <c r="DX2" s="49"/>
      <c r="DY2" s="49"/>
      <c r="EF2" s="46"/>
      <c r="EG2" s="46"/>
    </row>
    <row r="3" spans="1:137" hidden="1">
      <c r="A3" s="246">
        <f t="shared" si="0"/>
        <v>26</v>
      </c>
      <c r="B3" s="246">
        <f t="shared" si="1"/>
        <v>19</v>
      </c>
      <c r="C3" s="246">
        <v>2</v>
      </c>
      <c r="D3" s="290" t="str">
        <f>INDEX(Table!E:E,MATCH(E3,Table!F:F,0))</f>
        <v>B</v>
      </c>
      <c r="E3" s="232" t="s">
        <v>289</v>
      </c>
      <c r="F3" s="244">
        <f t="shared" si="2"/>
        <v>-29.552954545454547</v>
      </c>
      <c r="G3" s="54">
        <f t="shared" si="3"/>
        <v>14</v>
      </c>
      <c r="H3" s="639">
        <v>-3.6</v>
      </c>
      <c r="I3" s="640">
        <v>1</v>
      </c>
      <c r="J3" s="234">
        <f t="shared" ref="J3:J51" si="7">P3+S3+V3+Y3+AB3+AE3+AH3+AK3+AN3+AQ3+AT3+AW3+AZ3+BC3+BF3+BI3+BL3+BO3+BR3+BU3</f>
        <v>5</v>
      </c>
      <c r="K3" s="235"/>
      <c r="L3" s="235">
        <f>INDEX(Table!M:M,MATCH(E3,Table!F:F,0))</f>
        <v>0</v>
      </c>
      <c r="M3" s="234">
        <f t="shared" ref="M3:M51" si="8">K3+J3+L3</f>
        <v>5</v>
      </c>
      <c r="N3" s="236">
        <v>6.6625000000000014</v>
      </c>
      <c r="O3" s="237">
        <v>2</v>
      </c>
      <c r="P3" s="238">
        <v>5</v>
      </c>
      <c r="Q3" s="239">
        <v>-3.3</v>
      </c>
      <c r="R3" s="240">
        <v>1</v>
      </c>
      <c r="S3" s="241"/>
      <c r="T3" s="236">
        <v>-0.54999999999999982</v>
      </c>
      <c r="U3" s="242">
        <v>1</v>
      </c>
      <c r="V3" s="238"/>
      <c r="W3" s="239">
        <v>-4.2</v>
      </c>
      <c r="X3" s="240">
        <v>1</v>
      </c>
      <c r="Y3" s="241"/>
      <c r="Z3" s="236">
        <v>-3.7</v>
      </c>
      <c r="AA3" s="242">
        <v>1</v>
      </c>
      <c r="AB3" s="238"/>
      <c r="AC3" s="239">
        <v>-4.8</v>
      </c>
      <c r="AD3" s="240">
        <v>1</v>
      </c>
      <c r="AE3" s="241"/>
      <c r="AF3" s="236">
        <v>-7</v>
      </c>
      <c r="AG3" s="242">
        <v>0</v>
      </c>
      <c r="AH3" s="238"/>
      <c r="AI3" s="239">
        <v>3.34</v>
      </c>
      <c r="AJ3" s="240">
        <v>2</v>
      </c>
      <c r="AK3" s="241"/>
      <c r="AL3" s="236">
        <v>-3</v>
      </c>
      <c r="AM3" s="242">
        <v>0</v>
      </c>
      <c r="AN3" s="238"/>
      <c r="AO3" s="239">
        <v>-3.5454545454545454</v>
      </c>
      <c r="AP3" s="240">
        <v>1</v>
      </c>
      <c r="AQ3" s="241"/>
      <c r="AR3" s="236">
        <v>-3.5</v>
      </c>
      <c r="AS3" s="242">
        <v>1</v>
      </c>
      <c r="AT3" s="238"/>
      <c r="AU3" s="239">
        <v>-7</v>
      </c>
      <c r="AV3" s="240">
        <v>0</v>
      </c>
      <c r="AW3" s="241"/>
      <c r="AX3" s="236">
        <v>7.6400000000000006</v>
      </c>
      <c r="AY3" s="242">
        <v>2</v>
      </c>
      <c r="AZ3" s="238"/>
      <c r="BA3" s="239">
        <v>-3</v>
      </c>
      <c r="BB3" s="240">
        <v>0</v>
      </c>
      <c r="BC3" s="241"/>
      <c r="BD3" s="236">
        <v>-3.6</v>
      </c>
      <c r="BE3" s="242">
        <v>1</v>
      </c>
      <c r="BF3" s="238"/>
      <c r="BG3" s="239"/>
      <c r="BH3" s="243"/>
      <c r="BI3" s="241"/>
      <c r="BJ3" s="236"/>
      <c r="BK3" s="242"/>
      <c r="BL3" s="238"/>
      <c r="BM3" s="239"/>
      <c r="BN3" s="243"/>
      <c r="BO3" s="241"/>
      <c r="BP3" s="236"/>
      <c r="BQ3" s="242"/>
      <c r="BR3" s="238"/>
      <c r="BS3" s="239"/>
      <c r="BT3" s="240"/>
      <c r="BU3" s="241"/>
      <c r="BV3" s="239">
        <f t="shared" si="4"/>
        <v>-29.55295454545454</v>
      </c>
      <c r="BW3" s="240">
        <f t="shared" si="5"/>
        <v>14</v>
      </c>
      <c r="BX3" s="241">
        <f t="shared" si="6"/>
        <v>5</v>
      </c>
      <c r="BY3" s="48"/>
      <c r="DX3" s="49"/>
      <c r="DY3" s="49"/>
      <c r="EF3" s="46"/>
      <c r="EG3" s="46"/>
    </row>
    <row r="4" spans="1:137" hidden="1">
      <c r="A4" s="246">
        <f t="shared" si="0"/>
        <v>17</v>
      </c>
      <c r="B4" s="246">
        <f t="shared" si="1"/>
        <v>25</v>
      </c>
      <c r="C4" s="246">
        <v>22</v>
      </c>
      <c r="D4" s="290" t="str">
        <f>INDEX(Table!E:E,MATCH(E4,Table!F:F,0))</f>
        <v>C</v>
      </c>
      <c r="E4" s="232" t="s">
        <v>435</v>
      </c>
      <c r="F4" s="244">
        <f t="shared" si="2"/>
        <v>-13.014666375291375</v>
      </c>
      <c r="G4" s="54">
        <f t="shared" si="3"/>
        <v>20</v>
      </c>
      <c r="H4" s="639">
        <v>-4.9000000000000004</v>
      </c>
      <c r="I4" s="640">
        <v>1</v>
      </c>
      <c r="J4" s="234">
        <f t="shared" si="7"/>
        <v>10</v>
      </c>
      <c r="K4" s="235"/>
      <c r="L4" s="235">
        <f>INDEX(Table!M:M,MATCH(E4,Table!F:F,0))</f>
        <v>0</v>
      </c>
      <c r="M4" s="234">
        <f t="shared" si="8"/>
        <v>10</v>
      </c>
      <c r="N4" s="236">
        <v>-5.3</v>
      </c>
      <c r="O4" s="237">
        <v>1</v>
      </c>
      <c r="P4" s="238"/>
      <c r="Q4" s="239">
        <v>0.72727272727272751</v>
      </c>
      <c r="R4" s="240">
        <v>2</v>
      </c>
      <c r="S4" s="241"/>
      <c r="T4" s="236">
        <v>-7</v>
      </c>
      <c r="U4" s="242">
        <v>0</v>
      </c>
      <c r="V4" s="238"/>
      <c r="W4" s="239">
        <v>-5</v>
      </c>
      <c r="X4" s="240">
        <v>1</v>
      </c>
      <c r="Y4" s="241"/>
      <c r="Z4" s="236">
        <v>15.120624999999997</v>
      </c>
      <c r="AA4" s="242">
        <v>3</v>
      </c>
      <c r="AB4" s="238">
        <v>5</v>
      </c>
      <c r="AC4" s="239">
        <v>-7</v>
      </c>
      <c r="AD4" s="240">
        <v>0</v>
      </c>
      <c r="AE4" s="241"/>
      <c r="AF4" s="236">
        <v>1.7650000000000006</v>
      </c>
      <c r="AG4" s="242">
        <v>2</v>
      </c>
      <c r="AH4" s="238"/>
      <c r="AI4" s="239">
        <v>-5.15</v>
      </c>
      <c r="AJ4" s="240">
        <v>1</v>
      </c>
      <c r="AK4" s="241"/>
      <c r="AL4" s="236">
        <v>-4.2</v>
      </c>
      <c r="AM4" s="242">
        <v>1</v>
      </c>
      <c r="AN4" s="238"/>
      <c r="AO4" s="239">
        <v>5.4583333333333339</v>
      </c>
      <c r="AP4" s="240">
        <v>2</v>
      </c>
      <c r="AQ4" s="241"/>
      <c r="AR4" s="236">
        <v>-4.375</v>
      </c>
      <c r="AS4" s="242">
        <v>1</v>
      </c>
      <c r="AT4" s="238"/>
      <c r="AU4" s="239">
        <v>-5.2</v>
      </c>
      <c r="AV4" s="240">
        <v>1</v>
      </c>
      <c r="AW4" s="241"/>
      <c r="AX4" s="236">
        <v>15.789102564102567</v>
      </c>
      <c r="AY4" s="242">
        <v>3</v>
      </c>
      <c r="AZ4" s="238">
        <v>5</v>
      </c>
      <c r="BA4" s="239">
        <v>-3.75</v>
      </c>
      <c r="BB4" s="240">
        <v>1</v>
      </c>
      <c r="BC4" s="241"/>
      <c r="BD4" s="236">
        <v>-4.9000000000000004</v>
      </c>
      <c r="BE4" s="242">
        <v>1</v>
      </c>
      <c r="BF4" s="238"/>
      <c r="BG4" s="239"/>
      <c r="BH4" s="243"/>
      <c r="BI4" s="241"/>
      <c r="BJ4" s="236"/>
      <c r="BK4" s="242"/>
      <c r="BL4" s="238"/>
      <c r="BM4" s="239"/>
      <c r="BN4" s="243"/>
      <c r="BO4" s="241"/>
      <c r="BP4" s="236"/>
      <c r="BQ4" s="242"/>
      <c r="BR4" s="238"/>
      <c r="BS4" s="239"/>
      <c r="BT4" s="240"/>
      <c r="BU4" s="241"/>
      <c r="BV4" s="239">
        <f t="shared" si="4"/>
        <v>-13.014666375291375</v>
      </c>
      <c r="BW4" s="240">
        <f t="shared" si="5"/>
        <v>20</v>
      </c>
      <c r="BX4" s="241">
        <f t="shared" si="6"/>
        <v>10</v>
      </c>
      <c r="BY4" s="48"/>
      <c r="DX4" s="49"/>
      <c r="DY4" s="49"/>
      <c r="EF4" s="46"/>
      <c r="EG4" s="46"/>
    </row>
    <row r="5" spans="1:137" hidden="1">
      <c r="A5" s="246">
        <f t="shared" si="0"/>
        <v>37</v>
      </c>
      <c r="B5" s="246">
        <f t="shared" si="1"/>
        <v>35</v>
      </c>
      <c r="C5" s="246">
        <v>9</v>
      </c>
      <c r="D5" s="290" t="str">
        <f>INDEX(Table!E:E,MATCH(E5,Table!F:F,0))</f>
        <v>B</v>
      </c>
      <c r="E5" s="232" t="s">
        <v>527</v>
      </c>
      <c r="F5" s="244">
        <f t="shared" si="2"/>
        <v>-51.350201187701181</v>
      </c>
      <c r="G5" s="54">
        <f t="shared" si="3"/>
        <v>16</v>
      </c>
      <c r="H5" s="639">
        <v>-7</v>
      </c>
      <c r="I5" s="640">
        <v>0</v>
      </c>
      <c r="J5" s="234">
        <f t="shared" si="7"/>
        <v>0</v>
      </c>
      <c r="K5" s="235"/>
      <c r="L5" s="235">
        <f>INDEX(Table!M:M,MATCH(E5,Table!F:F,0))</f>
        <v>0</v>
      </c>
      <c r="M5" s="234">
        <f t="shared" si="8"/>
        <v>0</v>
      </c>
      <c r="N5" s="236">
        <v>1.2682692307692314</v>
      </c>
      <c r="O5" s="237">
        <v>3</v>
      </c>
      <c r="P5" s="238"/>
      <c r="Q5" s="239">
        <v>-7</v>
      </c>
      <c r="R5" s="240">
        <v>0</v>
      </c>
      <c r="S5" s="241"/>
      <c r="T5" s="236">
        <v>-7</v>
      </c>
      <c r="U5" s="242">
        <v>0</v>
      </c>
      <c r="V5" s="238"/>
      <c r="W5" s="239">
        <v>5.8060606060606048</v>
      </c>
      <c r="X5" s="240">
        <v>2</v>
      </c>
      <c r="Y5" s="241"/>
      <c r="Z5" s="236">
        <v>-7</v>
      </c>
      <c r="AA5" s="242">
        <v>0</v>
      </c>
      <c r="AB5" s="238"/>
      <c r="AC5" s="239">
        <v>-2</v>
      </c>
      <c r="AD5" s="240">
        <v>1</v>
      </c>
      <c r="AE5" s="241"/>
      <c r="AF5" s="236">
        <v>-5.85</v>
      </c>
      <c r="AG5" s="242">
        <v>1</v>
      </c>
      <c r="AH5" s="238"/>
      <c r="AI5" s="239">
        <v>-5.7</v>
      </c>
      <c r="AJ5" s="240">
        <v>1</v>
      </c>
      <c r="AK5" s="241"/>
      <c r="AL5" s="236">
        <v>4.7111111111111121</v>
      </c>
      <c r="AM5" s="242">
        <v>2</v>
      </c>
      <c r="AN5" s="238"/>
      <c r="AO5" s="239">
        <v>-1.8888888888888893</v>
      </c>
      <c r="AP5" s="240">
        <v>2</v>
      </c>
      <c r="AQ5" s="241"/>
      <c r="AR5" s="236">
        <v>-5.4285714285714288</v>
      </c>
      <c r="AS5" s="242">
        <v>1</v>
      </c>
      <c r="AT5" s="238"/>
      <c r="AU5" s="239">
        <v>-5.8181818181818183</v>
      </c>
      <c r="AV5" s="240">
        <v>1</v>
      </c>
      <c r="AW5" s="241"/>
      <c r="AX5" s="236">
        <v>-3.4</v>
      </c>
      <c r="AY5" s="242">
        <v>1</v>
      </c>
      <c r="AZ5" s="238"/>
      <c r="BA5" s="239">
        <v>-5.05</v>
      </c>
      <c r="BB5" s="240">
        <v>1</v>
      </c>
      <c r="BC5" s="241"/>
      <c r="BD5" s="236">
        <v>-7</v>
      </c>
      <c r="BE5" s="242">
        <v>0</v>
      </c>
      <c r="BF5" s="238"/>
      <c r="BG5" s="239"/>
      <c r="BH5" s="243"/>
      <c r="BI5" s="241"/>
      <c r="BJ5" s="236"/>
      <c r="BK5" s="242"/>
      <c r="BL5" s="238"/>
      <c r="BM5" s="239"/>
      <c r="BN5" s="243"/>
      <c r="BO5" s="241"/>
      <c r="BP5" s="236"/>
      <c r="BQ5" s="242"/>
      <c r="BR5" s="238"/>
      <c r="BS5" s="239"/>
      <c r="BT5" s="240"/>
      <c r="BU5" s="241"/>
      <c r="BV5" s="239">
        <f t="shared" si="4"/>
        <v>-51.350201187701188</v>
      </c>
      <c r="BW5" s="240">
        <f t="shared" si="5"/>
        <v>16</v>
      </c>
      <c r="BX5" s="241">
        <f t="shared" si="6"/>
        <v>0</v>
      </c>
      <c r="BY5" s="48"/>
      <c r="DX5" s="49"/>
      <c r="DY5" s="49"/>
      <c r="EF5" s="46"/>
      <c r="EG5" s="46"/>
    </row>
    <row r="6" spans="1:137" hidden="1">
      <c r="A6" s="246">
        <f t="shared" si="0"/>
        <v>30</v>
      </c>
      <c r="B6" s="246">
        <f t="shared" si="1"/>
        <v>35</v>
      </c>
      <c r="C6" s="246">
        <v>14</v>
      </c>
      <c r="D6" s="290" t="str">
        <f>INDEX(Table!E:E,MATCH(E6,Table!F:F,0))</f>
        <v>B</v>
      </c>
      <c r="E6" s="232" t="s">
        <v>366</v>
      </c>
      <c r="F6" s="244">
        <f t="shared" si="2"/>
        <v>-37.09031385281385</v>
      </c>
      <c r="G6" s="54">
        <f t="shared" si="3"/>
        <v>16</v>
      </c>
      <c r="H6" s="639">
        <v>-7</v>
      </c>
      <c r="I6" s="640">
        <v>0</v>
      </c>
      <c r="J6" s="234">
        <f t="shared" si="7"/>
        <v>5</v>
      </c>
      <c r="K6" s="235"/>
      <c r="L6" s="235">
        <f>INDEX(Table!M:M,MATCH(E6,Table!F:F,0))</f>
        <v>0</v>
      </c>
      <c r="M6" s="234">
        <f t="shared" si="8"/>
        <v>5</v>
      </c>
      <c r="N6" s="236">
        <v>-1.3333333333333339</v>
      </c>
      <c r="O6" s="237">
        <v>2</v>
      </c>
      <c r="P6" s="238"/>
      <c r="Q6" s="239">
        <v>-4.625</v>
      </c>
      <c r="R6" s="240">
        <v>1</v>
      </c>
      <c r="S6" s="241"/>
      <c r="T6" s="236">
        <v>-4.4000000000000004</v>
      </c>
      <c r="U6" s="242">
        <v>1</v>
      </c>
      <c r="V6" s="238"/>
      <c r="W6" s="239">
        <v>-4.8</v>
      </c>
      <c r="X6" s="240">
        <v>1</v>
      </c>
      <c r="Y6" s="241"/>
      <c r="Z6" s="236">
        <v>-5.45</v>
      </c>
      <c r="AA6" s="242">
        <v>1</v>
      </c>
      <c r="AB6" s="238"/>
      <c r="AC6" s="239">
        <v>21.925000000000001</v>
      </c>
      <c r="AD6" s="240">
        <v>3</v>
      </c>
      <c r="AE6" s="241">
        <v>5</v>
      </c>
      <c r="AF6" s="236">
        <v>-5.25</v>
      </c>
      <c r="AG6" s="242">
        <v>1</v>
      </c>
      <c r="AH6" s="238"/>
      <c r="AI6" s="239">
        <v>-4.7</v>
      </c>
      <c r="AJ6" s="240">
        <v>1</v>
      </c>
      <c r="AK6" s="241"/>
      <c r="AL6" s="236">
        <v>-7</v>
      </c>
      <c r="AM6" s="242">
        <v>0</v>
      </c>
      <c r="AN6" s="238"/>
      <c r="AO6" s="239">
        <v>-5.0909090909090908</v>
      </c>
      <c r="AP6" s="240">
        <v>1</v>
      </c>
      <c r="AQ6" s="241"/>
      <c r="AR6" s="236">
        <v>-5.4285714285714288</v>
      </c>
      <c r="AS6" s="242">
        <v>1</v>
      </c>
      <c r="AT6" s="238"/>
      <c r="AU6" s="239">
        <v>-7</v>
      </c>
      <c r="AV6" s="240">
        <v>0</v>
      </c>
      <c r="AW6" s="241"/>
      <c r="AX6" s="236">
        <v>6.0625</v>
      </c>
      <c r="AY6" s="242">
        <v>2</v>
      </c>
      <c r="AZ6" s="238"/>
      <c r="BA6" s="239">
        <v>-3</v>
      </c>
      <c r="BB6" s="240">
        <v>1</v>
      </c>
      <c r="BC6" s="241"/>
      <c r="BD6" s="236">
        <v>-7</v>
      </c>
      <c r="BE6" s="242">
        <v>0</v>
      </c>
      <c r="BF6" s="238"/>
      <c r="BG6" s="239"/>
      <c r="BH6" s="243"/>
      <c r="BI6" s="241"/>
      <c r="BJ6" s="236"/>
      <c r="BK6" s="242"/>
      <c r="BL6" s="238"/>
      <c r="BM6" s="239"/>
      <c r="BN6" s="243"/>
      <c r="BO6" s="241"/>
      <c r="BP6" s="236"/>
      <c r="BQ6" s="242"/>
      <c r="BR6" s="238"/>
      <c r="BS6" s="239"/>
      <c r="BT6" s="240"/>
      <c r="BU6" s="241"/>
      <c r="BV6" s="239">
        <f t="shared" si="4"/>
        <v>-37.090313852813857</v>
      </c>
      <c r="BW6" s="240">
        <f t="shared" si="5"/>
        <v>16</v>
      </c>
      <c r="BX6" s="241">
        <f t="shared" si="6"/>
        <v>5</v>
      </c>
      <c r="BY6" s="48"/>
      <c r="DX6" s="49"/>
      <c r="DY6" s="49"/>
      <c r="EF6" s="46"/>
      <c r="EG6" s="46"/>
    </row>
    <row r="7" spans="1:137" hidden="1">
      <c r="A7" s="246">
        <f t="shared" si="0"/>
        <v>5</v>
      </c>
      <c r="B7" s="246">
        <f t="shared" si="1"/>
        <v>32</v>
      </c>
      <c r="C7" s="246">
        <v>10</v>
      </c>
      <c r="D7" s="290" t="str">
        <f>INDEX(Table!E:E,MATCH(E7,Table!F:F,0))</f>
        <v>B</v>
      </c>
      <c r="E7" s="232" t="s">
        <v>308</v>
      </c>
      <c r="F7" s="244">
        <f t="shared" si="2"/>
        <v>53.166000000000004</v>
      </c>
      <c r="G7" s="54">
        <f t="shared" si="3"/>
        <v>16</v>
      </c>
      <c r="H7" s="639">
        <v>-5.35</v>
      </c>
      <c r="I7" s="640">
        <v>1</v>
      </c>
      <c r="J7" s="234">
        <f t="shared" si="7"/>
        <v>20</v>
      </c>
      <c r="K7" s="235"/>
      <c r="L7" s="235">
        <f>INDEX(Table!M:M,MATCH(E7,Table!F:F,0))</f>
        <v>42.874999999999993</v>
      </c>
      <c r="M7" s="234">
        <f t="shared" si="8"/>
        <v>62.874999999999993</v>
      </c>
      <c r="N7" s="236">
        <v>0.5</v>
      </c>
      <c r="O7" s="237">
        <v>2</v>
      </c>
      <c r="P7" s="238"/>
      <c r="Q7" s="239">
        <v>14.880000000000003</v>
      </c>
      <c r="R7" s="240">
        <v>2</v>
      </c>
      <c r="S7" s="241">
        <v>5</v>
      </c>
      <c r="T7" s="236">
        <v>-3</v>
      </c>
      <c r="U7" s="242">
        <v>1</v>
      </c>
      <c r="V7" s="238"/>
      <c r="W7" s="239">
        <v>66.046000000000006</v>
      </c>
      <c r="X7" s="240">
        <v>3</v>
      </c>
      <c r="Y7" s="241">
        <v>10</v>
      </c>
      <c r="Z7" s="236">
        <v>-3.4</v>
      </c>
      <c r="AA7" s="242">
        <v>1</v>
      </c>
      <c r="AB7" s="238"/>
      <c r="AC7" s="239">
        <v>11.350000000000001</v>
      </c>
      <c r="AD7" s="240">
        <v>2</v>
      </c>
      <c r="AE7" s="241"/>
      <c r="AF7" s="236">
        <v>-7</v>
      </c>
      <c r="AG7" s="242">
        <v>0</v>
      </c>
      <c r="AH7" s="238"/>
      <c r="AI7" s="239">
        <v>-7</v>
      </c>
      <c r="AJ7" s="240">
        <v>0</v>
      </c>
      <c r="AK7" s="241"/>
      <c r="AL7" s="236">
        <v>-7</v>
      </c>
      <c r="AM7" s="242">
        <v>0</v>
      </c>
      <c r="AN7" s="238"/>
      <c r="AO7" s="239">
        <v>-7</v>
      </c>
      <c r="AP7" s="240">
        <v>0</v>
      </c>
      <c r="AQ7" s="241"/>
      <c r="AR7" s="236">
        <v>11.8</v>
      </c>
      <c r="AS7" s="242">
        <v>2</v>
      </c>
      <c r="AT7" s="238">
        <v>5</v>
      </c>
      <c r="AU7" s="239">
        <v>-7</v>
      </c>
      <c r="AV7" s="240">
        <v>0</v>
      </c>
      <c r="AW7" s="241"/>
      <c r="AX7" s="236">
        <v>2.34</v>
      </c>
      <c r="AY7" s="242">
        <v>2</v>
      </c>
      <c r="AZ7" s="238"/>
      <c r="BA7" s="239">
        <v>-7</v>
      </c>
      <c r="BB7" s="240">
        <v>0</v>
      </c>
      <c r="BC7" s="241"/>
      <c r="BD7" s="236">
        <v>-5.35</v>
      </c>
      <c r="BE7" s="242">
        <v>1</v>
      </c>
      <c r="BF7" s="238"/>
      <c r="BG7" s="239"/>
      <c r="BH7" s="243"/>
      <c r="BI7" s="241"/>
      <c r="BJ7" s="236"/>
      <c r="BK7" s="242"/>
      <c r="BL7" s="238"/>
      <c r="BM7" s="239"/>
      <c r="BN7" s="243"/>
      <c r="BO7" s="241"/>
      <c r="BP7" s="236"/>
      <c r="BQ7" s="242"/>
      <c r="BR7" s="238"/>
      <c r="BS7" s="239"/>
      <c r="BT7" s="240"/>
      <c r="BU7" s="241"/>
      <c r="BV7" s="239">
        <f t="shared" si="4"/>
        <v>53.166000000000018</v>
      </c>
      <c r="BW7" s="240">
        <f t="shared" si="5"/>
        <v>16</v>
      </c>
      <c r="BX7" s="241">
        <f t="shared" si="6"/>
        <v>20</v>
      </c>
      <c r="BY7" s="48"/>
      <c r="DX7" s="49"/>
      <c r="DY7" s="49"/>
      <c r="EF7" s="46"/>
      <c r="EG7" s="46"/>
    </row>
    <row r="8" spans="1:137" hidden="1">
      <c r="A8" s="246">
        <f t="shared" si="0"/>
        <v>7</v>
      </c>
      <c r="B8" s="246">
        <f t="shared" si="1"/>
        <v>9</v>
      </c>
      <c r="C8" s="246">
        <v>20</v>
      </c>
      <c r="D8" s="290" t="str">
        <f>INDEX(Table!E:E,MATCH(E8,Table!F:F,0))</f>
        <v>B</v>
      </c>
      <c r="E8" s="232" t="s">
        <v>279</v>
      </c>
      <c r="F8" s="244">
        <f t="shared" si="2"/>
        <v>16.780674242424247</v>
      </c>
      <c r="G8" s="54">
        <f t="shared" si="3"/>
        <v>19</v>
      </c>
      <c r="H8" s="639">
        <v>0.83500000000000085</v>
      </c>
      <c r="I8" s="640">
        <v>2</v>
      </c>
      <c r="J8" s="234">
        <f t="shared" si="7"/>
        <v>10</v>
      </c>
      <c r="K8" s="235"/>
      <c r="L8" s="235">
        <f>INDEX(Table!M:M,MATCH(E8,Table!F:F,0))</f>
        <v>30.624999999999996</v>
      </c>
      <c r="M8" s="234">
        <f t="shared" si="8"/>
        <v>40.625</v>
      </c>
      <c r="N8" s="236">
        <v>-4.75</v>
      </c>
      <c r="O8" s="237">
        <v>1</v>
      </c>
      <c r="P8" s="238"/>
      <c r="Q8" s="239">
        <v>-7</v>
      </c>
      <c r="R8" s="240">
        <v>0</v>
      </c>
      <c r="S8" s="241"/>
      <c r="T8" s="236">
        <v>-4.8499999999999996</v>
      </c>
      <c r="U8" s="242">
        <v>1</v>
      </c>
      <c r="V8" s="238"/>
      <c r="W8" s="239">
        <v>-4.8</v>
      </c>
      <c r="X8" s="240">
        <v>1</v>
      </c>
      <c r="Y8" s="241"/>
      <c r="Z8" s="236">
        <v>-7</v>
      </c>
      <c r="AA8" s="242">
        <v>0</v>
      </c>
      <c r="AB8" s="238"/>
      <c r="AC8" s="239">
        <v>8.1999999999999993</v>
      </c>
      <c r="AD8" s="240">
        <v>2</v>
      </c>
      <c r="AE8" s="241"/>
      <c r="AF8" s="236">
        <v>-5.2</v>
      </c>
      <c r="AG8" s="242">
        <v>1</v>
      </c>
      <c r="AH8" s="238"/>
      <c r="AI8" s="239">
        <v>28.432000000000002</v>
      </c>
      <c r="AJ8" s="240">
        <v>3</v>
      </c>
      <c r="AK8" s="241">
        <v>5</v>
      </c>
      <c r="AL8" s="236">
        <v>-5.0909090909090908</v>
      </c>
      <c r="AM8" s="242">
        <v>1</v>
      </c>
      <c r="AN8" s="238"/>
      <c r="AO8" s="239">
        <v>30.873333333333335</v>
      </c>
      <c r="AP8" s="240">
        <v>3</v>
      </c>
      <c r="AQ8" s="241">
        <v>5</v>
      </c>
      <c r="AR8" s="236">
        <v>2.3312500000000007</v>
      </c>
      <c r="AS8" s="242">
        <v>2</v>
      </c>
      <c r="AT8" s="238"/>
      <c r="AU8" s="239">
        <v>-3.4</v>
      </c>
      <c r="AV8" s="240">
        <v>1</v>
      </c>
      <c r="AW8" s="241"/>
      <c r="AX8" s="236">
        <v>-7</v>
      </c>
      <c r="AY8" s="242">
        <v>0</v>
      </c>
      <c r="AZ8" s="238"/>
      <c r="BA8" s="239">
        <v>-4.8</v>
      </c>
      <c r="BB8" s="240">
        <v>1</v>
      </c>
      <c r="BC8" s="241"/>
      <c r="BD8" s="236">
        <v>0.83500000000000085</v>
      </c>
      <c r="BE8" s="242">
        <v>2</v>
      </c>
      <c r="BF8" s="238"/>
      <c r="BG8" s="239"/>
      <c r="BH8" s="243"/>
      <c r="BI8" s="241"/>
      <c r="BJ8" s="236"/>
      <c r="BK8" s="242"/>
      <c r="BL8" s="238"/>
      <c r="BM8" s="239"/>
      <c r="BN8" s="243"/>
      <c r="BO8" s="241"/>
      <c r="BP8" s="236"/>
      <c r="BQ8" s="242"/>
      <c r="BR8" s="238"/>
      <c r="BS8" s="239"/>
      <c r="BT8" s="240"/>
      <c r="BU8" s="241"/>
      <c r="BV8" s="239">
        <f t="shared" si="4"/>
        <v>16.780674242424247</v>
      </c>
      <c r="BW8" s="240">
        <f t="shared" si="5"/>
        <v>19</v>
      </c>
      <c r="BX8" s="241">
        <f t="shared" si="6"/>
        <v>10</v>
      </c>
      <c r="BY8" s="48"/>
      <c r="DX8" s="49"/>
      <c r="DY8" s="49"/>
      <c r="EF8" s="46"/>
      <c r="EG8" s="46"/>
    </row>
    <row r="9" spans="1:137" hidden="1">
      <c r="A9" s="246">
        <f t="shared" si="0"/>
        <v>11</v>
      </c>
      <c r="B9" s="246">
        <f t="shared" si="1"/>
        <v>16</v>
      </c>
      <c r="C9" s="246">
        <v>24</v>
      </c>
      <c r="D9" s="290" t="str">
        <f>INDEX(Table!E:E,MATCH(E9,Table!F:F,0))</f>
        <v>B</v>
      </c>
      <c r="E9" s="232" t="s">
        <v>273</v>
      </c>
      <c r="F9" s="244">
        <f t="shared" si="2"/>
        <v>1.6646320346320316</v>
      </c>
      <c r="G9" s="54">
        <f t="shared" si="3"/>
        <v>26</v>
      </c>
      <c r="H9" s="639">
        <v>-1.375</v>
      </c>
      <c r="I9" s="640">
        <v>2</v>
      </c>
      <c r="J9" s="234">
        <f t="shared" si="7"/>
        <v>5</v>
      </c>
      <c r="K9" s="235"/>
      <c r="L9" s="235">
        <f>INDEX(Table!M:M,MATCH(E9,Table!F:F,0))</f>
        <v>22.049999999999997</v>
      </c>
      <c r="M9" s="234">
        <f t="shared" si="8"/>
        <v>27.049999999999997</v>
      </c>
      <c r="N9" s="236">
        <v>-5.3333333333333339</v>
      </c>
      <c r="O9" s="237">
        <v>1</v>
      </c>
      <c r="P9" s="238"/>
      <c r="Q9" s="239">
        <v>-7</v>
      </c>
      <c r="R9" s="240">
        <v>0</v>
      </c>
      <c r="S9" s="241"/>
      <c r="T9" s="236">
        <v>-1.5600000000000005</v>
      </c>
      <c r="U9" s="242">
        <v>2</v>
      </c>
      <c r="V9" s="238"/>
      <c r="W9" s="239">
        <v>4.2727272727272734</v>
      </c>
      <c r="X9" s="240">
        <v>2</v>
      </c>
      <c r="Y9" s="241"/>
      <c r="Z9" s="236">
        <v>-2.0500000000000007</v>
      </c>
      <c r="AA9" s="242">
        <v>2</v>
      </c>
      <c r="AB9" s="238"/>
      <c r="AC9" s="239">
        <v>6.1750000000000007</v>
      </c>
      <c r="AD9" s="240">
        <v>2</v>
      </c>
      <c r="AE9" s="241"/>
      <c r="AF9" s="236">
        <v>-2.0600000000000005</v>
      </c>
      <c r="AG9" s="242">
        <v>2</v>
      </c>
      <c r="AH9" s="238"/>
      <c r="AI9" s="239">
        <v>-0.67142857142857082</v>
      </c>
      <c r="AJ9" s="240">
        <v>2</v>
      </c>
      <c r="AK9" s="241"/>
      <c r="AL9" s="236">
        <v>6.6999999999999993</v>
      </c>
      <c r="AM9" s="242">
        <v>2</v>
      </c>
      <c r="AN9" s="238">
        <v>5</v>
      </c>
      <c r="AO9" s="239">
        <v>11.799999999999997</v>
      </c>
      <c r="AP9" s="240">
        <v>3</v>
      </c>
      <c r="AQ9" s="241"/>
      <c r="AR9" s="236">
        <v>-0.66666666666666607</v>
      </c>
      <c r="AS9" s="242">
        <v>2</v>
      </c>
      <c r="AT9" s="238"/>
      <c r="AU9" s="239">
        <v>-5.4666666666666668</v>
      </c>
      <c r="AV9" s="240">
        <v>1</v>
      </c>
      <c r="AW9" s="241"/>
      <c r="AX9" s="236">
        <v>3.9000000000000004</v>
      </c>
      <c r="AY9" s="242">
        <v>2</v>
      </c>
      <c r="AZ9" s="238"/>
      <c r="BA9" s="239">
        <v>-5</v>
      </c>
      <c r="BB9" s="240">
        <v>1</v>
      </c>
      <c r="BC9" s="241"/>
      <c r="BD9" s="236">
        <v>-1.375</v>
      </c>
      <c r="BE9" s="242">
        <v>2</v>
      </c>
      <c r="BF9" s="238"/>
      <c r="BG9" s="239"/>
      <c r="BH9" s="243"/>
      <c r="BI9" s="241"/>
      <c r="BJ9" s="236"/>
      <c r="BK9" s="242"/>
      <c r="BL9" s="238"/>
      <c r="BM9" s="239"/>
      <c r="BN9" s="243"/>
      <c r="BO9" s="241"/>
      <c r="BP9" s="236"/>
      <c r="BQ9" s="242"/>
      <c r="BR9" s="238"/>
      <c r="BS9" s="239"/>
      <c r="BT9" s="240"/>
      <c r="BU9" s="241"/>
      <c r="BV9" s="239">
        <f t="shared" si="4"/>
        <v>1.6646320346320316</v>
      </c>
      <c r="BW9" s="240">
        <f t="shared" si="5"/>
        <v>26</v>
      </c>
      <c r="BX9" s="241">
        <f t="shared" si="6"/>
        <v>5</v>
      </c>
      <c r="BY9" s="48"/>
      <c r="DX9" s="49"/>
      <c r="DY9" s="49"/>
      <c r="EF9" s="46"/>
      <c r="EG9" s="46"/>
    </row>
    <row r="10" spans="1:137" hidden="1">
      <c r="A10" s="246">
        <f t="shared" si="0"/>
        <v>4</v>
      </c>
      <c r="B10" s="246">
        <f t="shared" si="1"/>
        <v>35</v>
      </c>
      <c r="C10" s="246">
        <v>24</v>
      </c>
      <c r="D10" s="290" t="str">
        <f>INDEX(Table!E:E,MATCH(E10,Table!F:F,0))</f>
        <v>C</v>
      </c>
      <c r="E10" s="232" t="s">
        <v>358</v>
      </c>
      <c r="F10" s="244">
        <f t="shared" si="2"/>
        <v>54.690757575757573</v>
      </c>
      <c r="G10" s="54">
        <f t="shared" si="3"/>
        <v>17</v>
      </c>
      <c r="H10" s="639">
        <v>-7</v>
      </c>
      <c r="I10" s="640">
        <v>0</v>
      </c>
      <c r="J10" s="234">
        <f t="shared" si="7"/>
        <v>25</v>
      </c>
      <c r="K10" s="235"/>
      <c r="L10" s="235">
        <f>INDEX(Table!M:M,MATCH(E10,Table!F:F,0))</f>
        <v>13.125</v>
      </c>
      <c r="M10" s="234">
        <f t="shared" si="8"/>
        <v>38.125</v>
      </c>
      <c r="N10" s="236">
        <v>-5.3333333333333339</v>
      </c>
      <c r="O10" s="237">
        <v>1</v>
      </c>
      <c r="P10" s="238"/>
      <c r="Q10" s="239">
        <v>-7</v>
      </c>
      <c r="R10" s="240">
        <v>0</v>
      </c>
      <c r="S10" s="241"/>
      <c r="T10" s="236">
        <v>6.2600000000000016</v>
      </c>
      <c r="U10" s="242">
        <v>2</v>
      </c>
      <c r="V10" s="238"/>
      <c r="W10" s="239">
        <v>-7</v>
      </c>
      <c r="X10" s="240">
        <v>0</v>
      </c>
      <c r="Y10" s="241"/>
      <c r="Z10" s="236">
        <v>7.9799999999999986</v>
      </c>
      <c r="AA10" s="242">
        <v>2</v>
      </c>
      <c r="AB10" s="238"/>
      <c r="AC10" s="239">
        <v>-7</v>
      </c>
      <c r="AD10" s="240">
        <v>0</v>
      </c>
      <c r="AE10" s="241"/>
      <c r="AF10" s="236">
        <v>10.479999999999997</v>
      </c>
      <c r="AG10" s="242">
        <v>2</v>
      </c>
      <c r="AH10" s="238">
        <v>5</v>
      </c>
      <c r="AI10" s="239">
        <v>-4.8</v>
      </c>
      <c r="AJ10" s="240">
        <v>1</v>
      </c>
      <c r="AK10" s="241"/>
      <c r="AL10" s="236">
        <v>-7</v>
      </c>
      <c r="AM10" s="242">
        <v>0</v>
      </c>
      <c r="AN10" s="238"/>
      <c r="AO10" s="239">
        <v>59.709090909090918</v>
      </c>
      <c r="AP10" s="240">
        <v>3</v>
      </c>
      <c r="AQ10" s="241">
        <v>10</v>
      </c>
      <c r="AR10" s="236">
        <v>-4.375</v>
      </c>
      <c r="AS10" s="242">
        <v>1</v>
      </c>
      <c r="AT10" s="238"/>
      <c r="AU10" s="239">
        <v>23.96</v>
      </c>
      <c r="AV10" s="240">
        <v>3</v>
      </c>
      <c r="AW10" s="241">
        <v>10</v>
      </c>
      <c r="AX10" s="236">
        <v>2.8100000000000005</v>
      </c>
      <c r="AY10" s="242">
        <v>2</v>
      </c>
      <c r="AZ10" s="238"/>
      <c r="BA10" s="239">
        <v>-7</v>
      </c>
      <c r="BB10" s="240">
        <v>0</v>
      </c>
      <c r="BC10" s="241"/>
      <c r="BD10" s="236">
        <v>-7</v>
      </c>
      <c r="BE10" s="242">
        <v>0</v>
      </c>
      <c r="BF10" s="238"/>
      <c r="BG10" s="239"/>
      <c r="BH10" s="243"/>
      <c r="BI10" s="241"/>
      <c r="BJ10" s="236"/>
      <c r="BK10" s="242"/>
      <c r="BL10" s="238"/>
      <c r="BM10" s="239"/>
      <c r="BN10" s="243"/>
      <c r="BO10" s="241"/>
      <c r="BP10" s="236"/>
      <c r="BQ10" s="242"/>
      <c r="BR10" s="238"/>
      <c r="BS10" s="239"/>
      <c r="BT10" s="240"/>
      <c r="BU10" s="241"/>
      <c r="BV10" s="239">
        <f t="shared" si="4"/>
        <v>54.69075757575758</v>
      </c>
      <c r="BW10" s="240">
        <f t="shared" si="5"/>
        <v>17</v>
      </c>
      <c r="BX10" s="241">
        <f t="shared" si="6"/>
        <v>25</v>
      </c>
      <c r="BY10" s="48"/>
      <c r="DX10" s="49"/>
      <c r="DY10" s="49"/>
      <c r="EF10" s="46"/>
      <c r="EG10" s="46"/>
    </row>
    <row r="11" spans="1:137" hidden="1">
      <c r="A11" s="246">
        <f t="shared" si="0"/>
        <v>48</v>
      </c>
      <c r="B11" s="246">
        <f t="shared" si="1"/>
        <v>35</v>
      </c>
      <c r="C11" s="246">
        <v>34</v>
      </c>
      <c r="D11" s="290" t="str">
        <f>INDEX(Table!E:E,MATCH(E11,Table!F:F,0))</f>
        <v>C</v>
      </c>
      <c r="E11" s="232" t="s">
        <v>507</v>
      </c>
      <c r="F11" s="244">
        <f t="shared" si="2"/>
        <v>-105</v>
      </c>
      <c r="G11" s="54">
        <f t="shared" si="3"/>
        <v>0</v>
      </c>
      <c r="H11" s="639">
        <v>-7</v>
      </c>
      <c r="I11" s="640">
        <v>0</v>
      </c>
      <c r="J11" s="234">
        <f t="shared" si="7"/>
        <v>0</v>
      </c>
      <c r="K11" s="235"/>
      <c r="L11" s="235">
        <f>INDEX(Table!M:M,MATCH(E11,Table!F:F,0))</f>
        <v>0</v>
      </c>
      <c r="M11" s="234">
        <f t="shared" si="8"/>
        <v>0</v>
      </c>
      <c r="N11" s="236">
        <v>-7</v>
      </c>
      <c r="O11" s="237">
        <v>0</v>
      </c>
      <c r="P11" s="238"/>
      <c r="Q11" s="239">
        <v>-7</v>
      </c>
      <c r="R11" s="240">
        <v>0</v>
      </c>
      <c r="S11" s="241"/>
      <c r="T11" s="236">
        <v>-7</v>
      </c>
      <c r="U11" s="242">
        <v>0</v>
      </c>
      <c r="V11" s="238"/>
      <c r="W11" s="239">
        <v>-7</v>
      </c>
      <c r="X11" s="240">
        <v>0</v>
      </c>
      <c r="Y11" s="241"/>
      <c r="Z11" s="236">
        <v>-7</v>
      </c>
      <c r="AA11" s="242">
        <v>0</v>
      </c>
      <c r="AB11" s="238"/>
      <c r="AC11" s="239">
        <v>-7</v>
      </c>
      <c r="AD11" s="240">
        <v>0</v>
      </c>
      <c r="AE11" s="241"/>
      <c r="AF11" s="236">
        <v>-7</v>
      </c>
      <c r="AG11" s="242">
        <v>0</v>
      </c>
      <c r="AH11" s="238"/>
      <c r="AI11" s="239">
        <v>-7</v>
      </c>
      <c r="AJ11" s="240">
        <v>0</v>
      </c>
      <c r="AK11" s="241"/>
      <c r="AL11" s="236">
        <v>-7</v>
      </c>
      <c r="AM11" s="242">
        <v>0</v>
      </c>
      <c r="AN11" s="238"/>
      <c r="AO11" s="239">
        <v>-7</v>
      </c>
      <c r="AP11" s="240">
        <v>0</v>
      </c>
      <c r="AQ11" s="241"/>
      <c r="AR11" s="236">
        <v>-7</v>
      </c>
      <c r="AS11" s="242">
        <v>0</v>
      </c>
      <c r="AT11" s="238"/>
      <c r="AU11" s="239">
        <v>-7</v>
      </c>
      <c r="AV11" s="240">
        <v>0</v>
      </c>
      <c r="AW11" s="241"/>
      <c r="AX11" s="236">
        <v>-7</v>
      </c>
      <c r="AY11" s="242">
        <v>0</v>
      </c>
      <c r="AZ11" s="238"/>
      <c r="BA11" s="239">
        <v>-7</v>
      </c>
      <c r="BB11" s="240">
        <v>0</v>
      </c>
      <c r="BC11" s="241"/>
      <c r="BD11" s="236">
        <v>-7</v>
      </c>
      <c r="BE11" s="242">
        <v>0</v>
      </c>
      <c r="BF11" s="238"/>
      <c r="BG11" s="239"/>
      <c r="BH11" s="243"/>
      <c r="BI11" s="241"/>
      <c r="BJ11" s="236"/>
      <c r="BK11" s="242"/>
      <c r="BL11" s="238"/>
      <c r="BM11" s="239"/>
      <c r="BN11" s="243"/>
      <c r="BO11" s="241"/>
      <c r="BP11" s="236"/>
      <c r="BQ11" s="242"/>
      <c r="BR11" s="238"/>
      <c r="BS11" s="239"/>
      <c r="BT11" s="240"/>
      <c r="BU11" s="241"/>
      <c r="BV11" s="239">
        <f t="shared" si="4"/>
        <v>-105</v>
      </c>
      <c r="BW11" s="240">
        <f t="shared" si="5"/>
        <v>0</v>
      </c>
      <c r="BX11" s="241">
        <f t="shared" si="6"/>
        <v>0</v>
      </c>
      <c r="BY11" s="48"/>
      <c r="DX11" s="49"/>
      <c r="DY11" s="49"/>
      <c r="EF11" s="46"/>
      <c r="EG11" s="46"/>
    </row>
    <row r="12" spans="1:137" hidden="1">
      <c r="A12" s="246">
        <f t="shared" si="0"/>
        <v>34</v>
      </c>
      <c r="B12" s="246">
        <f t="shared" si="1"/>
        <v>23</v>
      </c>
      <c r="C12" s="246">
        <v>34</v>
      </c>
      <c r="D12" s="290" t="str">
        <f>INDEX(Table!E:E,MATCH(E12,Table!F:F,0))</f>
        <v>C</v>
      </c>
      <c r="E12" s="232" t="s">
        <v>299</v>
      </c>
      <c r="F12" s="244">
        <f t="shared" si="2"/>
        <v>-46.640795454545454</v>
      </c>
      <c r="G12" s="54">
        <f t="shared" si="3"/>
        <v>14</v>
      </c>
      <c r="H12" s="639">
        <v>-4.8499999999999996</v>
      </c>
      <c r="I12" s="640">
        <v>1</v>
      </c>
      <c r="J12" s="234">
        <f t="shared" si="7"/>
        <v>0</v>
      </c>
      <c r="K12" s="235"/>
      <c r="L12" s="235">
        <f>INDEX(Table!M:M,MATCH(E12,Table!F:F,0))</f>
        <v>0</v>
      </c>
      <c r="M12" s="234">
        <f t="shared" si="8"/>
        <v>0</v>
      </c>
      <c r="N12" s="236">
        <v>-7</v>
      </c>
      <c r="O12" s="237">
        <v>0</v>
      </c>
      <c r="P12" s="238"/>
      <c r="Q12" s="239">
        <v>-3</v>
      </c>
      <c r="R12" s="240">
        <v>0</v>
      </c>
      <c r="S12" s="241"/>
      <c r="T12" s="236">
        <v>-1</v>
      </c>
      <c r="U12" s="242">
        <v>1</v>
      </c>
      <c r="V12" s="238"/>
      <c r="W12" s="239">
        <v>-5</v>
      </c>
      <c r="X12" s="240">
        <v>1</v>
      </c>
      <c r="Y12" s="241"/>
      <c r="Z12" s="236">
        <v>3.5200000000000014</v>
      </c>
      <c r="AA12" s="242">
        <v>2</v>
      </c>
      <c r="AB12" s="238"/>
      <c r="AC12" s="239">
        <v>-4.4000000000000004</v>
      </c>
      <c r="AD12" s="240">
        <v>1</v>
      </c>
      <c r="AE12" s="241"/>
      <c r="AF12" s="236">
        <v>-7</v>
      </c>
      <c r="AG12" s="242">
        <v>0</v>
      </c>
      <c r="AH12" s="238"/>
      <c r="AI12" s="239">
        <v>-4.5</v>
      </c>
      <c r="AJ12" s="240">
        <v>1</v>
      </c>
      <c r="AK12" s="241"/>
      <c r="AL12" s="236">
        <v>-4.2</v>
      </c>
      <c r="AM12" s="242">
        <v>1</v>
      </c>
      <c r="AN12" s="238"/>
      <c r="AO12" s="239">
        <v>2.0749999999999993</v>
      </c>
      <c r="AP12" s="240">
        <v>2</v>
      </c>
      <c r="AQ12" s="241"/>
      <c r="AR12" s="236">
        <v>3.4187499999999993</v>
      </c>
      <c r="AS12" s="242">
        <v>2</v>
      </c>
      <c r="AT12" s="238"/>
      <c r="AU12" s="239">
        <v>-4.25</v>
      </c>
      <c r="AV12" s="240">
        <v>1</v>
      </c>
      <c r="AW12" s="241"/>
      <c r="AX12" s="236">
        <v>-3.4545454545454546</v>
      </c>
      <c r="AY12" s="242">
        <v>1</v>
      </c>
      <c r="AZ12" s="238"/>
      <c r="BA12" s="239">
        <v>-7</v>
      </c>
      <c r="BB12" s="240">
        <v>0</v>
      </c>
      <c r="BC12" s="241"/>
      <c r="BD12" s="236">
        <v>-4.8499999999999996</v>
      </c>
      <c r="BE12" s="242">
        <v>1</v>
      </c>
      <c r="BF12" s="238"/>
      <c r="BG12" s="239"/>
      <c r="BH12" s="243"/>
      <c r="BI12" s="241"/>
      <c r="BJ12" s="236"/>
      <c r="BK12" s="242"/>
      <c r="BL12" s="238"/>
      <c r="BM12" s="239"/>
      <c r="BN12" s="243"/>
      <c r="BO12" s="241"/>
      <c r="BP12" s="236"/>
      <c r="BQ12" s="242"/>
      <c r="BR12" s="238"/>
      <c r="BS12" s="239"/>
      <c r="BT12" s="240"/>
      <c r="BU12" s="241"/>
      <c r="BV12" s="239">
        <f t="shared" si="4"/>
        <v>-46.640795454545454</v>
      </c>
      <c r="BW12" s="240">
        <f t="shared" si="5"/>
        <v>14</v>
      </c>
      <c r="BX12" s="241">
        <f t="shared" si="6"/>
        <v>0</v>
      </c>
      <c r="BY12" s="48"/>
      <c r="DX12" s="49"/>
      <c r="DY12" s="49"/>
      <c r="EF12" s="46"/>
      <c r="EG12" s="46"/>
    </row>
    <row r="13" spans="1:137" hidden="1">
      <c r="A13" s="246">
        <f t="shared" si="0"/>
        <v>39</v>
      </c>
      <c r="B13" s="246">
        <f t="shared" si="1"/>
        <v>27</v>
      </c>
      <c r="C13" s="246">
        <v>15</v>
      </c>
      <c r="D13" s="290" t="str">
        <f>INDEX(Table!E:E,MATCH(E13,Table!F:F,0))</f>
        <v>B</v>
      </c>
      <c r="E13" s="232" t="s">
        <v>305</v>
      </c>
      <c r="F13" s="244">
        <f t="shared" si="2"/>
        <v>-53.876666666666658</v>
      </c>
      <c r="G13" s="54">
        <f t="shared" si="3"/>
        <v>15</v>
      </c>
      <c r="H13" s="639">
        <v>-5</v>
      </c>
      <c r="I13" s="640">
        <v>1</v>
      </c>
      <c r="J13" s="234">
        <f t="shared" si="7"/>
        <v>5</v>
      </c>
      <c r="K13" s="235"/>
      <c r="L13" s="235">
        <f>INDEX(Table!M:M,MATCH(E13,Table!F:F,0))</f>
        <v>0</v>
      </c>
      <c r="M13" s="234">
        <f t="shared" si="8"/>
        <v>5</v>
      </c>
      <c r="N13" s="236">
        <v>-1.4615384615384617</v>
      </c>
      <c r="O13" s="237">
        <v>2</v>
      </c>
      <c r="P13" s="238"/>
      <c r="Q13" s="239">
        <v>-3.75</v>
      </c>
      <c r="R13" s="240">
        <v>1</v>
      </c>
      <c r="S13" s="241"/>
      <c r="T13" s="236">
        <v>3.0400000000000009</v>
      </c>
      <c r="U13" s="242">
        <v>2</v>
      </c>
      <c r="V13" s="238"/>
      <c r="W13" s="239">
        <v>-5</v>
      </c>
      <c r="X13" s="240">
        <v>1</v>
      </c>
      <c r="Y13" s="241"/>
      <c r="Z13" s="236">
        <v>-4.4000000000000004</v>
      </c>
      <c r="AA13" s="242">
        <v>1</v>
      </c>
      <c r="AB13" s="238"/>
      <c r="AC13" s="239">
        <v>-3.2</v>
      </c>
      <c r="AD13" s="240">
        <v>1</v>
      </c>
      <c r="AE13" s="241"/>
      <c r="AF13" s="236">
        <v>-7</v>
      </c>
      <c r="AG13" s="242">
        <v>0</v>
      </c>
      <c r="AH13" s="238"/>
      <c r="AI13" s="239">
        <v>-4.7</v>
      </c>
      <c r="AJ13" s="240">
        <v>1</v>
      </c>
      <c r="AK13" s="241"/>
      <c r="AL13" s="236">
        <v>-7</v>
      </c>
      <c r="AM13" s="242">
        <v>0</v>
      </c>
      <c r="AN13" s="238"/>
      <c r="AO13" s="239">
        <v>-4.55</v>
      </c>
      <c r="AP13" s="240">
        <v>1</v>
      </c>
      <c r="AQ13" s="241"/>
      <c r="AR13" s="236">
        <v>-4.25</v>
      </c>
      <c r="AS13" s="242">
        <v>1</v>
      </c>
      <c r="AT13" s="238"/>
      <c r="AU13" s="239">
        <v>5.5615384615384613</v>
      </c>
      <c r="AV13" s="240">
        <v>2</v>
      </c>
      <c r="AW13" s="241">
        <v>5</v>
      </c>
      <c r="AX13" s="236">
        <v>-7</v>
      </c>
      <c r="AY13" s="242">
        <v>0</v>
      </c>
      <c r="AZ13" s="238"/>
      <c r="BA13" s="239">
        <v>-5.1666666666666661</v>
      </c>
      <c r="BB13" s="240">
        <v>1</v>
      </c>
      <c r="BC13" s="241"/>
      <c r="BD13" s="236">
        <v>-5</v>
      </c>
      <c r="BE13" s="242">
        <v>1</v>
      </c>
      <c r="BF13" s="238"/>
      <c r="BG13" s="239"/>
      <c r="BH13" s="243"/>
      <c r="BI13" s="241"/>
      <c r="BJ13" s="236"/>
      <c r="BK13" s="242"/>
      <c r="BL13" s="238"/>
      <c r="BM13" s="239"/>
      <c r="BN13" s="243"/>
      <c r="BO13" s="241"/>
      <c r="BP13" s="236"/>
      <c r="BQ13" s="242"/>
      <c r="BR13" s="238"/>
      <c r="BS13" s="239"/>
      <c r="BT13" s="240"/>
      <c r="BU13" s="241"/>
      <c r="BV13" s="239">
        <f t="shared" si="4"/>
        <v>-53.876666666666665</v>
      </c>
      <c r="BW13" s="240">
        <f t="shared" si="5"/>
        <v>15</v>
      </c>
      <c r="BX13" s="241">
        <f t="shared" si="6"/>
        <v>5</v>
      </c>
      <c r="BY13" s="48"/>
      <c r="DX13" s="49"/>
      <c r="DY13" s="49"/>
      <c r="EF13" s="46"/>
      <c r="EG13" s="46"/>
    </row>
    <row r="14" spans="1:137" hidden="1">
      <c r="A14" s="246">
        <f t="shared" si="0"/>
        <v>19</v>
      </c>
      <c r="B14" s="246">
        <f t="shared" si="1"/>
        <v>12</v>
      </c>
      <c r="C14" s="246">
        <v>31</v>
      </c>
      <c r="D14" s="290" t="str">
        <f>INDEX(Table!E:E,MATCH(E14,Table!F:F,0))</f>
        <v>B</v>
      </c>
      <c r="E14" s="232" t="s">
        <v>298</v>
      </c>
      <c r="F14" s="244">
        <f t="shared" si="2"/>
        <v>-16.614753246753246</v>
      </c>
      <c r="G14" s="54">
        <f t="shared" si="3"/>
        <v>23</v>
      </c>
      <c r="H14" s="639">
        <v>0.54999999999999982</v>
      </c>
      <c r="I14" s="640">
        <v>2</v>
      </c>
      <c r="J14" s="234">
        <f t="shared" si="7"/>
        <v>5</v>
      </c>
      <c r="K14" s="235"/>
      <c r="L14" s="235">
        <f>INDEX(Table!M:M,MATCH(E14,Table!F:F,0))</f>
        <v>3.6749999999999994</v>
      </c>
      <c r="M14" s="234">
        <f t="shared" si="8"/>
        <v>8.6749999999999989</v>
      </c>
      <c r="N14" s="236">
        <v>-5.6363636363636367</v>
      </c>
      <c r="O14" s="237">
        <v>1</v>
      </c>
      <c r="P14" s="238"/>
      <c r="Q14" s="239">
        <v>2.8727272727272748</v>
      </c>
      <c r="R14" s="240">
        <v>2</v>
      </c>
      <c r="S14" s="241"/>
      <c r="T14" s="236">
        <v>-0.63999999999999968</v>
      </c>
      <c r="U14" s="242">
        <v>2</v>
      </c>
      <c r="V14" s="238"/>
      <c r="W14" s="239">
        <v>-1.3090909090909086</v>
      </c>
      <c r="X14" s="240">
        <v>2</v>
      </c>
      <c r="Y14" s="241"/>
      <c r="Z14" s="236">
        <v>-1.1150000000000002</v>
      </c>
      <c r="AA14" s="242">
        <v>2</v>
      </c>
      <c r="AB14" s="238"/>
      <c r="AC14" s="239">
        <v>-5.4285714285714288</v>
      </c>
      <c r="AD14" s="240">
        <v>1</v>
      </c>
      <c r="AE14" s="241"/>
      <c r="AF14" s="236">
        <v>-0.29999999999999982</v>
      </c>
      <c r="AG14" s="242">
        <v>2</v>
      </c>
      <c r="AH14" s="238"/>
      <c r="AI14" s="239">
        <v>-5.15</v>
      </c>
      <c r="AJ14" s="240">
        <v>1</v>
      </c>
      <c r="AK14" s="241"/>
      <c r="AL14" s="236">
        <v>3.0545454545454547</v>
      </c>
      <c r="AM14" s="242">
        <v>2</v>
      </c>
      <c r="AN14" s="238"/>
      <c r="AO14" s="239">
        <v>-5</v>
      </c>
      <c r="AP14" s="240">
        <v>1</v>
      </c>
      <c r="AQ14" s="241"/>
      <c r="AR14" s="236">
        <v>-7</v>
      </c>
      <c r="AS14" s="242">
        <v>0</v>
      </c>
      <c r="AT14" s="238"/>
      <c r="AU14" s="239">
        <v>-7</v>
      </c>
      <c r="AV14" s="240">
        <v>0</v>
      </c>
      <c r="AW14" s="241"/>
      <c r="AX14" s="236">
        <v>2.625</v>
      </c>
      <c r="AY14" s="242">
        <v>2</v>
      </c>
      <c r="AZ14" s="238"/>
      <c r="BA14" s="239">
        <v>12.861999999999998</v>
      </c>
      <c r="BB14" s="240">
        <v>3</v>
      </c>
      <c r="BC14" s="241">
        <v>5</v>
      </c>
      <c r="BD14" s="236">
        <v>0.54999999999999982</v>
      </c>
      <c r="BE14" s="242">
        <v>2</v>
      </c>
      <c r="BF14" s="238"/>
      <c r="BG14" s="239"/>
      <c r="BH14" s="243"/>
      <c r="BI14" s="241"/>
      <c r="BJ14" s="236"/>
      <c r="BK14" s="242"/>
      <c r="BL14" s="238"/>
      <c r="BM14" s="239"/>
      <c r="BN14" s="243"/>
      <c r="BO14" s="241"/>
      <c r="BP14" s="236"/>
      <c r="BQ14" s="242"/>
      <c r="BR14" s="238"/>
      <c r="BS14" s="239"/>
      <c r="BT14" s="240"/>
      <c r="BU14" s="241"/>
      <c r="BV14" s="239">
        <f t="shared" si="4"/>
        <v>-16.614753246753246</v>
      </c>
      <c r="BW14" s="240">
        <f t="shared" si="5"/>
        <v>23</v>
      </c>
      <c r="BX14" s="241">
        <f t="shared" si="6"/>
        <v>5</v>
      </c>
      <c r="BY14" s="48"/>
      <c r="DX14" s="49"/>
      <c r="DY14" s="49"/>
      <c r="EF14" s="46"/>
      <c r="EG14" s="46"/>
    </row>
    <row r="15" spans="1:137" hidden="1">
      <c r="A15" s="246">
        <f t="shared" si="0"/>
        <v>18</v>
      </c>
      <c r="B15" s="246">
        <f t="shared" si="1"/>
        <v>25</v>
      </c>
      <c r="C15" s="246">
        <v>7</v>
      </c>
      <c r="D15" s="290" t="str">
        <f>INDEX(Table!E:E,MATCH(E15,Table!F:F,0))</f>
        <v>B</v>
      </c>
      <c r="E15" s="232" t="s">
        <v>306</v>
      </c>
      <c r="F15" s="244">
        <f t="shared" si="2"/>
        <v>-16.044926035502968</v>
      </c>
      <c r="G15" s="54">
        <f t="shared" si="3"/>
        <v>18</v>
      </c>
      <c r="H15" s="639">
        <v>-4.9000000000000004</v>
      </c>
      <c r="I15" s="640">
        <v>1</v>
      </c>
      <c r="J15" s="234">
        <f t="shared" si="7"/>
        <v>10</v>
      </c>
      <c r="K15" s="235"/>
      <c r="L15" s="235">
        <f>INDEX(Table!M:M,MATCH(E15,Table!F:F,0))</f>
        <v>8.5749999999999993</v>
      </c>
      <c r="M15" s="234">
        <f t="shared" si="8"/>
        <v>18.574999999999999</v>
      </c>
      <c r="N15" s="236">
        <v>2.25</v>
      </c>
      <c r="O15" s="237">
        <v>2</v>
      </c>
      <c r="P15" s="238"/>
      <c r="Q15" s="239">
        <v>-4.95</v>
      </c>
      <c r="R15" s="240">
        <v>1</v>
      </c>
      <c r="S15" s="241"/>
      <c r="T15" s="236">
        <v>3.34</v>
      </c>
      <c r="U15" s="242">
        <v>2</v>
      </c>
      <c r="V15" s="238"/>
      <c r="W15" s="239">
        <v>-7</v>
      </c>
      <c r="X15" s="240">
        <v>0</v>
      </c>
      <c r="Y15" s="241"/>
      <c r="Z15" s="236">
        <v>-7</v>
      </c>
      <c r="AA15" s="242">
        <v>0</v>
      </c>
      <c r="AB15" s="238"/>
      <c r="AC15" s="239">
        <v>1.4400000000000013</v>
      </c>
      <c r="AD15" s="240">
        <v>2</v>
      </c>
      <c r="AE15" s="241"/>
      <c r="AF15" s="236">
        <v>2.5625</v>
      </c>
      <c r="AG15" s="242">
        <v>2</v>
      </c>
      <c r="AH15" s="238"/>
      <c r="AI15" s="239">
        <v>3.1999999999999993</v>
      </c>
      <c r="AJ15" s="240">
        <v>2</v>
      </c>
      <c r="AK15" s="241"/>
      <c r="AL15" s="236">
        <v>-4.55</v>
      </c>
      <c r="AM15" s="242">
        <v>1</v>
      </c>
      <c r="AN15" s="238"/>
      <c r="AO15" s="239">
        <v>-4.375</v>
      </c>
      <c r="AP15" s="240">
        <v>1</v>
      </c>
      <c r="AQ15" s="241"/>
      <c r="AR15" s="236">
        <v>-4.4000000000000004</v>
      </c>
      <c r="AS15" s="242">
        <v>1</v>
      </c>
      <c r="AT15" s="238"/>
      <c r="AU15" s="239">
        <v>-7</v>
      </c>
      <c r="AV15" s="240">
        <v>0</v>
      </c>
      <c r="AW15" s="241"/>
      <c r="AX15" s="236">
        <v>22.337573964497036</v>
      </c>
      <c r="AY15" s="242">
        <v>3</v>
      </c>
      <c r="AZ15" s="238">
        <v>10</v>
      </c>
      <c r="BA15" s="239">
        <v>-7</v>
      </c>
      <c r="BB15" s="240">
        <v>0</v>
      </c>
      <c r="BC15" s="241"/>
      <c r="BD15" s="236">
        <v>-4.9000000000000004</v>
      </c>
      <c r="BE15" s="242">
        <v>1</v>
      </c>
      <c r="BF15" s="238"/>
      <c r="BG15" s="239"/>
      <c r="BH15" s="243"/>
      <c r="BI15" s="241"/>
      <c r="BJ15" s="236"/>
      <c r="BK15" s="242"/>
      <c r="BL15" s="238"/>
      <c r="BM15" s="239"/>
      <c r="BN15" s="243"/>
      <c r="BO15" s="241"/>
      <c r="BP15" s="236"/>
      <c r="BQ15" s="242"/>
      <c r="BR15" s="238"/>
      <c r="BS15" s="239"/>
      <c r="BT15" s="240"/>
      <c r="BU15" s="241"/>
      <c r="BV15" s="239">
        <f t="shared" si="4"/>
        <v>-16.044926035502964</v>
      </c>
      <c r="BW15" s="240">
        <f t="shared" si="5"/>
        <v>18</v>
      </c>
      <c r="BX15" s="241">
        <f t="shared" si="6"/>
        <v>10</v>
      </c>
      <c r="BY15" s="48"/>
      <c r="DX15" s="49"/>
      <c r="DY15" s="49"/>
      <c r="EF15" s="46"/>
      <c r="EG15" s="46"/>
    </row>
    <row r="16" spans="1:137" hidden="1">
      <c r="A16" s="246">
        <f t="shared" si="0"/>
        <v>1</v>
      </c>
      <c r="B16" s="246">
        <f t="shared" si="1"/>
        <v>35</v>
      </c>
      <c r="C16" s="246">
        <v>34</v>
      </c>
      <c r="D16" s="290" t="str">
        <f>INDEX(Table!E:E,MATCH(E16,Table!F:F,0))</f>
        <v>A</v>
      </c>
      <c r="E16" s="232" t="s">
        <v>302</v>
      </c>
      <c r="F16" s="244">
        <f t="shared" si="2"/>
        <v>86.336166666666685</v>
      </c>
      <c r="G16" s="54">
        <f t="shared" si="3"/>
        <v>13</v>
      </c>
      <c r="H16" s="639">
        <v>-7</v>
      </c>
      <c r="I16" s="640">
        <v>0</v>
      </c>
      <c r="J16" s="234">
        <f t="shared" si="7"/>
        <v>35</v>
      </c>
      <c r="K16" s="235"/>
      <c r="L16" s="235">
        <f>INDEX(Table!M:M,MATCH(E16,Table!F:F,0))</f>
        <v>61.25</v>
      </c>
      <c r="M16" s="234">
        <f t="shared" si="8"/>
        <v>96.25</v>
      </c>
      <c r="N16" s="236">
        <v>-7</v>
      </c>
      <c r="O16" s="237">
        <v>0</v>
      </c>
      <c r="P16" s="238"/>
      <c r="Q16" s="239">
        <v>-7</v>
      </c>
      <c r="R16" s="240">
        <v>0</v>
      </c>
      <c r="S16" s="241"/>
      <c r="T16" s="236">
        <v>-7</v>
      </c>
      <c r="U16" s="242">
        <v>0</v>
      </c>
      <c r="V16" s="238"/>
      <c r="W16" s="239">
        <v>-7</v>
      </c>
      <c r="X16" s="240">
        <v>0</v>
      </c>
      <c r="Y16" s="241"/>
      <c r="Z16" s="236">
        <v>-7</v>
      </c>
      <c r="AA16" s="242">
        <v>0</v>
      </c>
      <c r="AB16" s="238"/>
      <c r="AC16" s="239">
        <v>96.832000000000008</v>
      </c>
      <c r="AD16" s="240">
        <v>3</v>
      </c>
      <c r="AE16" s="241">
        <v>10</v>
      </c>
      <c r="AF16" s="236">
        <v>15.466666666666669</v>
      </c>
      <c r="AG16" s="242">
        <v>2</v>
      </c>
      <c r="AH16" s="238">
        <v>10</v>
      </c>
      <c r="AI16" s="239">
        <v>-7</v>
      </c>
      <c r="AJ16" s="240">
        <v>0</v>
      </c>
      <c r="AK16" s="241"/>
      <c r="AL16" s="236">
        <v>-1.5</v>
      </c>
      <c r="AM16" s="242">
        <v>1</v>
      </c>
      <c r="AN16" s="238"/>
      <c r="AO16" s="239">
        <v>-3.1</v>
      </c>
      <c r="AP16" s="240">
        <v>1</v>
      </c>
      <c r="AQ16" s="241"/>
      <c r="AR16" s="236">
        <v>9.0375000000000014</v>
      </c>
      <c r="AS16" s="242">
        <v>2</v>
      </c>
      <c r="AT16" s="238"/>
      <c r="AU16" s="239">
        <v>-7</v>
      </c>
      <c r="AV16" s="240">
        <v>0</v>
      </c>
      <c r="AW16" s="241"/>
      <c r="AX16" s="236">
        <v>9.8500000000000014</v>
      </c>
      <c r="AY16" s="242">
        <v>2</v>
      </c>
      <c r="AZ16" s="238">
        <v>5</v>
      </c>
      <c r="BA16" s="239">
        <v>15.75</v>
      </c>
      <c r="BB16" s="240">
        <v>2</v>
      </c>
      <c r="BC16" s="241">
        <v>10</v>
      </c>
      <c r="BD16" s="236">
        <v>-7</v>
      </c>
      <c r="BE16" s="242">
        <v>0</v>
      </c>
      <c r="BF16" s="238"/>
      <c r="BG16" s="239"/>
      <c r="BH16" s="243"/>
      <c r="BI16" s="241"/>
      <c r="BJ16" s="236"/>
      <c r="BK16" s="242"/>
      <c r="BL16" s="238"/>
      <c r="BM16" s="239"/>
      <c r="BN16" s="243"/>
      <c r="BO16" s="241"/>
      <c r="BP16" s="236"/>
      <c r="BQ16" s="242"/>
      <c r="BR16" s="238"/>
      <c r="BS16" s="239"/>
      <c r="BT16" s="240"/>
      <c r="BU16" s="241"/>
      <c r="BV16" s="239">
        <f t="shared" si="4"/>
        <v>86.336166666666685</v>
      </c>
      <c r="BW16" s="240">
        <f t="shared" si="5"/>
        <v>13</v>
      </c>
      <c r="BX16" s="241">
        <f t="shared" si="6"/>
        <v>35</v>
      </c>
      <c r="BY16" s="48"/>
      <c r="DX16" s="49"/>
      <c r="DY16" s="49"/>
      <c r="EF16" s="46"/>
      <c r="EG16" s="46"/>
    </row>
    <row r="17" spans="1:137" hidden="1">
      <c r="A17" s="246">
        <f t="shared" si="0"/>
        <v>48</v>
      </c>
      <c r="B17" s="246">
        <f t="shared" si="1"/>
        <v>35</v>
      </c>
      <c r="C17" s="246">
        <v>34</v>
      </c>
      <c r="D17" s="290" t="str">
        <f>INDEX(Table!E:E,MATCH(E17,Table!F:F,0))</f>
        <v>B</v>
      </c>
      <c r="E17" s="232" t="s">
        <v>508</v>
      </c>
      <c r="F17" s="244">
        <f t="shared" si="2"/>
        <v>-105</v>
      </c>
      <c r="G17" s="54">
        <f t="shared" si="3"/>
        <v>0</v>
      </c>
      <c r="H17" s="639">
        <v>-7</v>
      </c>
      <c r="I17" s="640">
        <v>0</v>
      </c>
      <c r="J17" s="234">
        <f t="shared" si="7"/>
        <v>0</v>
      </c>
      <c r="K17" s="235"/>
      <c r="L17" s="235">
        <f>INDEX(Table!M:M,MATCH(E17,Table!F:F,0))</f>
        <v>0</v>
      </c>
      <c r="M17" s="234">
        <f t="shared" si="8"/>
        <v>0</v>
      </c>
      <c r="N17" s="236">
        <v>-7</v>
      </c>
      <c r="O17" s="237">
        <v>0</v>
      </c>
      <c r="P17" s="238"/>
      <c r="Q17" s="239">
        <v>-7</v>
      </c>
      <c r="R17" s="240">
        <v>0</v>
      </c>
      <c r="S17" s="241"/>
      <c r="T17" s="236">
        <v>-7</v>
      </c>
      <c r="U17" s="242">
        <v>0</v>
      </c>
      <c r="V17" s="238"/>
      <c r="W17" s="239">
        <v>-7</v>
      </c>
      <c r="X17" s="240">
        <v>0</v>
      </c>
      <c r="Y17" s="241"/>
      <c r="Z17" s="236">
        <v>-7</v>
      </c>
      <c r="AA17" s="242">
        <v>0</v>
      </c>
      <c r="AB17" s="238"/>
      <c r="AC17" s="239">
        <v>-7</v>
      </c>
      <c r="AD17" s="240">
        <v>0</v>
      </c>
      <c r="AE17" s="241"/>
      <c r="AF17" s="236">
        <v>-7</v>
      </c>
      <c r="AG17" s="242">
        <v>0</v>
      </c>
      <c r="AH17" s="238"/>
      <c r="AI17" s="239">
        <v>-7</v>
      </c>
      <c r="AJ17" s="240">
        <v>0</v>
      </c>
      <c r="AK17" s="241"/>
      <c r="AL17" s="236">
        <v>-7</v>
      </c>
      <c r="AM17" s="242">
        <v>0</v>
      </c>
      <c r="AN17" s="238"/>
      <c r="AO17" s="239">
        <v>-7</v>
      </c>
      <c r="AP17" s="240">
        <v>0</v>
      </c>
      <c r="AQ17" s="241"/>
      <c r="AR17" s="236">
        <v>-7</v>
      </c>
      <c r="AS17" s="242">
        <v>0</v>
      </c>
      <c r="AT17" s="238"/>
      <c r="AU17" s="239">
        <v>-7</v>
      </c>
      <c r="AV17" s="240">
        <v>0</v>
      </c>
      <c r="AW17" s="241"/>
      <c r="AX17" s="236">
        <v>-7</v>
      </c>
      <c r="AY17" s="242">
        <v>0</v>
      </c>
      <c r="AZ17" s="238"/>
      <c r="BA17" s="239">
        <v>-7</v>
      </c>
      <c r="BB17" s="240">
        <v>0</v>
      </c>
      <c r="BC17" s="241"/>
      <c r="BD17" s="236">
        <v>-7</v>
      </c>
      <c r="BE17" s="242">
        <v>0</v>
      </c>
      <c r="BF17" s="238"/>
      <c r="BG17" s="239"/>
      <c r="BH17" s="243"/>
      <c r="BI17" s="241"/>
      <c r="BJ17" s="236"/>
      <c r="BK17" s="242"/>
      <c r="BL17" s="238"/>
      <c r="BM17" s="239"/>
      <c r="BN17" s="243"/>
      <c r="BO17" s="241"/>
      <c r="BP17" s="236"/>
      <c r="BQ17" s="242"/>
      <c r="BR17" s="238"/>
      <c r="BS17" s="239"/>
      <c r="BT17" s="240"/>
      <c r="BU17" s="241"/>
      <c r="BV17" s="239">
        <f t="shared" si="4"/>
        <v>-105</v>
      </c>
      <c r="BW17" s="240">
        <f t="shared" si="5"/>
        <v>0</v>
      </c>
      <c r="BX17" s="241">
        <f t="shared" si="6"/>
        <v>0</v>
      </c>
      <c r="BY17" s="48"/>
      <c r="DX17" s="49"/>
      <c r="DY17" s="49"/>
      <c r="EF17" s="46"/>
      <c r="EG17" s="46"/>
    </row>
    <row r="18" spans="1:137" hidden="1">
      <c r="A18" s="246">
        <f t="shared" si="0"/>
        <v>44</v>
      </c>
      <c r="B18" s="246">
        <f t="shared" si="1"/>
        <v>35</v>
      </c>
      <c r="C18" s="246">
        <v>34</v>
      </c>
      <c r="D18" s="290" t="str">
        <f>INDEX(Table!E:E,MATCH(E18,Table!F:F,0))</f>
        <v>C</v>
      </c>
      <c r="E18" s="232" t="s">
        <v>368</v>
      </c>
      <c r="F18" s="244">
        <f t="shared" si="2"/>
        <v>-75.3</v>
      </c>
      <c r="G18" s="54">
        <f t="shared" si="3"/>
        <v>6</v>
      </c>
      <c r="H18" s="639">
        <v>-7</v>
      </c>
      <c r="I18" s="640">
        <v>0</v>
      </c>
      <c r="J18" s="234">
        <f t="shared" si="7"/>
        <v>0</v>
      </c>
      <c r="K18" s="235"/>
      <c r="L18" s="235">
        <f>INDEX(Table!M:M,MATCH(E18,Table!F:F,0))</f>
        <v>0</v>
      </c>
      <c r="M18" s="234">
        <f t="shared" si="8"/>
        <v>0</v>
      </c>
      <c r="N18" s="236">
        <v>-7</v>
      </c>
      <c r="O18" s="237">
        <v>0</v>
      </c>
      <c r="P18" s="238"/>
      <c r="Q18" s="239">
        <v>-7</v>
      </c>
      <c r="R18" s="240">
        <v>0</v>
      </c>
      <c r="S18" s="241"/>
      <c r="T18" s="236">
        <v>2.5</v>
      </c>
      <c r="U18" s="242">
        <v>1</v>
      </c>
      <c r="V18" s="238"/>
      <c r="W18" s="239">
        <v>-1.2000000000000002</v>
      </c>
      <c r="X18" s="240">
        <v>1</v>
      </c>
      <c r="Y18" s="241"/>
      <c r="Z18" s="236">
        <v>-7</v>
      </c>
      <c r="AA18" s="242">
        <v>0</v>
      </c>
      <c r="AB18" s="238"/>
      <c r="AC18" s="239">
        <v>-2</v>
      </c>
      <c r="AD18" s="240">
        <v>1</v>
      </c>
      <c r="AE18" s="241"/>
      <c r="AF18" s="236">
        <v>-7</v>
      </c>
      <c r="AG18" s="242">
        <v>0</v>
      </c>
      <c r="AH18" s="238"/>
      <c r="AI18" s="239">
        <v>-4.8</v>
      </c>
      <c r="AJ18" s="240">
        <v>1</v>
      </c>
      <c r="AK18" s="241"/>
      <c r="AL18" s="236">
        <v>-1.5</v>
      </c>
      <c r="AM18" s="242">
        <v>1</v>
      </c>
      <c r="AN18" s="238"/>
      <c r="AO18" s="239">
        <v>-7</v>
      </c>
      <c r="AP18" s="240">
        <v>0</v>
      </c>
      <c r="AQ18" s="241"/>
      <c r="AR18" s="236">
        <v>-5.3</v>
      </c>
      <c r="AS18" s="242">
        <v>1</v>
      </c>
      <c r="AT18" s="238"/>
      <c r="AU18" s="239">
        <v>-7</v>
      </c>
      <c r="AV18" s="240">
        <v>0</v>
      </c>
      <c r="AW18" s="241"/>
      <c r="AX18" s="236">
        <v>-7</v>
      </c>
      <c r="AY18" s="242">
        <v>0</v>
      </c>
      <c r="AZ18" s="238"/>
      <c r="BA18" s="239">
        <v>-7</v>
      </c>
      <c r="BB18" s="240">
        <v>0</v>
      </c>
      <c r="BC18" s="241"/>
      <c r="BD18" s="236">
        <v>-7</v>
      </c>
      <c r="BE18" s="242">
        <v>0</v>
      </c>
      <c r="BF18" s="238"/>
      <c r="BG18" s="239"/>
      <c r="BH18" s="243"/>
      <c r="BI18" s="241"/>
      <c r="BJ18" s="236"/>
      <c r="BK18" s="242"/>
      <c r="BL18" s="238"/>
      <c r="BM18" s="239"/>
      <c r="BN18" s="243"/>
      <c r="BO18" s="241"/>
      <c r="BP18" s="236"/>
      <c r="BQ18" s="242"/>
      <c r="BR18" s="238"/>
      <c r="BS18" s="239"/>
      <c r="BT18" s="240"/>
      <c r="BU18" s="241"/>
      <c r="BV18" s="239">
        <f t="shared" si="4"/>
        <v>-75.3</v>
      </c>
      <c r="BW18" s="240">
        <f t="shared" si="5"/>
        <v>6</v>
      </c>
      <c r="BX18" s="241">
        <f t="shared" si="6"/>
        <v>0</v>
      </c>
      <c r="BY18" s="48"/>
      <c r="DX18" s="49"/>
      <c r="DY18" s="49"/>
      <c r="EF18" s="46"/>
      <c r="EG18" s="46"/>
    </row>
    <row r="19" spans="1:137" hidden="1">
      <c r="A19" s="246">
        <f t="shared" si="0"/>
        <v>43</v>
      </c>
      <c r="B19" s="246">
        <f t="shared" si="1"/>
        <v>35</v>
      </c>
      <c r="C19" s="246">
        <v>24</v>
      </c>
      <c r="D19" s="290" t="str">
        <f>INDEX(Table!E:E,MATCH(E19,Table!F:F,0))</f>
        <v>A</v>
      </c>
      <c r="E19" s="232" t="s">
        <v>359</v>
      </c>
      <c r="F19" s="244">
        <f t="shared" si="2"/>
        <v>-68.643787878787876</v>
      </c>
      <c r="G19" s="54">
        <f t="shared" si="3"/>
        <v>12</v>
      </c>
      <c r="H19" s="639">
        <v>-7</v>
      </c>
      <c r="I19" s="640">
        <v>0</v>
      </c>
      <c r="J19" s="234">
        <f t="shared" si="7"/>
        <v>0</v>
      </c>
      <c r="K19" s="235"/>
      <c r="L19" s="235">
        <f>INDEX(Table!M:M,MATCH(E19,Table!F:F,0))</f>
        <v>0</v>
      </c>
      <c r="M19" s="234">
        <f t="shared" si="8"/>
        <v>0</v>
      </c>
      <c r="N19" s="236">
        <v>-5.3333333333333339</v>
      </c>
      <c r="O19" s="237">
        <v>1</v>
      </c>
      <c r="P19" s="238"/>
      <c r="Q19" s="239">
        <v>-5.0909090909090908</v>
      </c>
      <c r="R19" s="240">
        <v>1</v>
      </c>
      <c r="S19" s="241"/>
      <c r="T19" s="236">
        <v>-4.7</v>
      </c>
      <c r="U19" s="242">
        <v>1</v>
      </c>
      <c r="V19" s="238"/>
      <c r="W19" s="239">
        <v>4.545454545454497E-2</v>
      </c>
      <c r="X19" s="240">
        <v>2</v>
      </c>
      <c r="Y19" s="241"/>
      <c r="Z19" s="236">
        <v>-4.8</v>
      </c>
      <c r="AA19" s="242">
        <v>1</v>
      </c>
      <c r="AB19" s="238"/>
      <c r="AC19" s="239">
        <v>-5.25</v>
      </c>
      <c r="AD19" s="240">
        <v>1</v>
      </c>
      <c r="AE19" s="241"/>
      <c r="AF19" s="236">
        <v>-7</v>
      </c>
      <c r="AG19" s="242">
        <v>0</v>
      </c>
      <c r="AH19" s="238"/>
      <c r="AI19" s="239">
        <v>3.2850000000000001</v>
      </c>
      <c r="AJ19" s="240">
        <v>2</v>
      </c>
      <c r="AK19" s="241"/>
      <c r="AL19" s="236">
        <v>-7</v>
      </c>
      <c r="AM19" s="242">
        <v>0</v>
      </c>
      <c r="AN19" s="238"/>
      <c r="AO19" s="239">
        <v>0.5</v>
      </c>
      <c r="AP19" s="240">
        <v>2</v>
      </c>
      <c r="AQ19" s="241"/>
      <c r="AR19" s="236">
        <v>-5.3</v>
      </c>
      <c r="AS19" s="242">
        <v>1</v>
      </c>
      <c r="AT19" s="238"/>
      <c r="AU19" s="239">
        <v>-7</v>
      </c>
      <c r="AV19" s="240">
        <v>0</v>
      </c>
      <c r="AW19" s="241"/>
      <c r="AX19" s="236">
        <v>-7</v>
      </c>
      <c r="AY19" s="242">
        <v>0</v>
      </c>
      <c r="AZ19" s="238"/>
      <c r="BA19" s="239">
        <v>-7</v>
      </c>
      <c r="BB19" s="240">
        <v>0</v>
      </c>
      <c r="BC19" s="241"/>
      <c r="BD19" s="236">
        <v>-7</v>
      </c>
      <c r="BE19" s="242">
        <v>0</v>
      </c>
      <c r="BF19" s="238"/>
      <c r="BG19" s="239"/>
      <c r="BH19" s="243"/>
      <c r="BI19" s="241"/>
      <c r="BJ19" s="236"/>
      <c r="BK19" s="242"/>
      <c r="BL19" s="238"/>
      <c r="BM19" s="239"/>
      <c r="BN19" s="243"/>
      <c r="BO19" s="241"/>
      <c r="BP19" s="236"/>
      <c r="BQ19" s="242"/>
      <c r="BR19" s="238"/>
      <c r="BS19" s="239"/>
      <c r="BT19" s="240"/>
      <c r="BU19" s="241"/>
      <c r="BV19" s="239">
        <f t="shared" si="4"/>
        <v>-68.643787878787876</v>
      </c>
      <c r="BW19" s="240">
        <f t="shared" si="5"/>
        <v>12</v>
      </c>
      <c r="BX19" s="241">
        <f t="shared" si="6"/>
        <v>0</v>
      </c>
      <c r="BY19" s="48"/>
      <c r="DX19" s="49"/>
      <c r="DY19" s="49"/>
      <c r="EF19" s="46"/>
      <c r="EG19" s="46"/>
    </row>
    <row r="20" spans="1:137" hidden="1">
      <c r="A20" s="246">
        <f t="shared" si="0"/>
        <v>3</v>
      </c>
      <c r="B20" s="246">
        <f t="shared" si="1"/>
        <v>35</v>
      </c>
      <c r="C20" s="246">
        <v>3</v>
      </c>
      <c r="D20" s="290" t="str">
        <f>INDEX(Table!E:E,MATCH(E20,Table!F:F,0))</f>
        <v>C</v>
      </c>
      <c r="E20" s="232" t="s">
        <v>360</v>
      </c>
      <c r="F20" s="244">
        <f t="shared" si="2"/>
        <v>54.895888888888877</v>
      </c>
      <c r="G20" s="54">
        <f t="shared" si="3"/>
        <v>27</v>
      </c>
      <c r="H20" s="639">
        <v>-7</v>
      </c>
      <c r="I20" s="640">
        <v>0</v>
      </c>
      <c r="J20" s="234">
        <f t="shared" si="7"/>
        <v>30</v>
      </c>
      <c r="K20" s="235"/>
      <c r="L20" s="235">
        <f>INDEX(Table!M:M,MATCH(E20,Table!F:F,0))</f>
        <v>18.375</v>
      </c>
      <c r="M20" s="234">
        <f t="shared" si="8"/>
        <v>48.375</v>
      </c>
      <c r="N20" s="236">
        <v>4.9861111111111107</v>
      </c>
      <c r="O20" s="237">
        <v>3</v>
      </c>
      <c r="P20" s="238">
        <v>5</v>
      </c>
      <c r="Q20" s="239">
        <v>16.326999999999998</v>
      </c>
      <c r="R20" s="240">
        <v>3</v>
      </c>
      <c r="S20" s="241">
        <v>5</v>
      </c>
      <c r="T20" s="236">
        <v>-1.79</v>
      </c>
      <c r="U20" s="242">
        <v>2</v>
      </c>
      <c r="V20" s="238"/>
      <c r="W20" s="239">
        <v>-2.2857142857142865</v>
      </c>
      <c r="X20" s="240">
        <v>2</v>
      </c>
      <c r="Y20" s="241"/>
      <c r="Z20" s="236">
        <v>-4.95</v>
      </c>
      <c r="AA20" s="242">
        <v>1</v>
      </c>
      <c r="AB20" s="238"/>
      <c r="AC20" s="239">
        <v>5.23</v>
      </c>
      <c r="AD20" s="240">
        <v>2</v>
      </c>
      <c r="AE20" s="241"/>
      <c r="AF20" s="236">
        <v>8.7946428571428577</v>
      </c>
      <c r="AG20" s="242">
        <v>3</v>
      </c>
      <c r="AH20" s="238">
        <v>5</v>
      </c>
      <c r="AI20" s="239">
        <v>44</v>
      </c>
      <c r="AJ20" s="240">
        <v>3</v>
      </c>
      <c r="AK20" s="241">
        <v>10</v>
      </c>
      <c r="AL20" s="236">
        <v>-5.5555555555555554</v>
      </c>
      <c r="AM20" s="242">
        <v>1</v>
      </c>
      <c r="AN20" s="238"/>
      <c r="AO20" s="239">
        <v>-5.5</v>
      </c>
      <c r="AP20" s="240">
        <v>1</v>
      </c>
      <c r="AQ20" s="241"/>
      <c r="AR20" s="236">
        <v>17.283571428571431</v>
      </c>
      <c r="AS20" s="242">
        <v>3</v>
      </c>
      <c r="AT20" s="238">
        <v>5</v>
      </c>
      <c r="AU20" s="239">
        <v>-2.4774999999999991</v>
      </c>
      <c r="AV20" s="240">
        <v>2</v>
      </c>
      <c r="AW20" s="241"/>
      <c r="AX20" s="236">
        <v>-5.1666666666666661</v>
      </c>
      <c r="AY20" s="242">
        <v>1</v>
      </c>
      <c r="AZ20" s="238"/>
      <c r="BA20" s="239">
        <v>-7</v>
      </c>
      <c r="BB20" s="240">
        <v>0</v>
      </c>
      <c r="BC20" s="241"/>
      <c r="BD20" s="236">
        <v>-7</v>
      </c>
      <c r="BE20" s="242">
        <v>0</v>
      </c>
      <c r="BF20" s="238"/>
      <c r="BG20" s="239"/>
      <c r="BH20" s="243"/>
      <c r="BI20" s="241"/>
      <c r="BJ20" s="236"/>
      <c r="BK20" s="242"/>
      <c r="BL20" s="238"/>
      <c r="BM20" s="239"/>
      <c r="BN20" s="243"/>
      <c r="BO20" s="241"/>
      <c r="BP20" s="236"/>
      <c r="BQ20" s="242"/>
      <c r="BR20" s="238"/>
      <c r="BS20" s="239"/>
      <c r="BT20" s="240"/>
      <c r="BU20" s="241"/>
      <c r="BV20" s="239">
        <f t="shared" si="4"/>
        <v>54.895888888888905</v>
      </c>
      <c r="BW20" s="240">
        <f t="shared" si="5"/>
        <v>27</v>
      </c>
      <c r="BX20" s="241">
        <f t="shared" si="6"/>
        <v>30</v>
      </c>
      <c r="BY20" s="48"/>
      <c r="DX20" s="49"/>
      <c r="DY20" s="49"/>
      <c r="EF20" s="46"/>
      <c r="EG20" s="46"/>
    </row>
    <row r="21" spans="1:137" hidden="1">
      <c r="A21" s="246">
        <f t="shared" si="0"/>
        <v>46</v>
      </c>
      <c r="B21" s="246">
        <f t="shared" si="1"/>
        <v>35</v>
      </c>
      <c r="C21" s="246">
        <v>34</v>
      </c>
      <c r="D21" s="290" t="str">
        <f>INDEX(Table!E:E,MATCH(E21,Table!F:F,0))</f>
        <v>C</v>
      </c>
      <c r="E21" s="232" t="s">
        <v>529</v>
      </c>
      <c r="F21" s="244">
        <f t="shared" si="2"/>
        <v>-88.735389610389603</v>
      </c>
      <c r="G21" s="54">
        <f t="shared" si="3"/>
        <v>6</v>
      </c>
      <c r="H21" s="639">
        <v>-7</v>
      </c>
      <c r="I21" s="640">
        <v>0</v>
      </c>
      <c r="J21" s="234">
        <f t="shared" si="7"/>
        <v>0</v>
      </c>
      <c r="K21" s="235"/>
      <c r="L21" s="235">
        <f>INDEX(Table!M:M,MATCH(E21,Table!F:F,0))</f>
        <v>0</v>
      </c>
      <c r="M21" s="234">
        <f t="shared" si="8"/>
        <v>0</v>
      </c>
      <c r="N21" s="236">
        <v>-7</v>
      </c>
      <c r="O21" s="237">
        <v>0</v>
      </c>
      <c r="P21" s="238"/>
      <c r="Q21" s="239">
        <v>1.8181818181818183</v>
      </c>
      <c r="R21" s="240">
        <v>2</v>
      </c>
      <c r="S21" s="241"/>
      <c r="T21" s="236">
        <v>-5.3</v>
      </c>
      <c r="U21" s="242">
        <v>1</v>
      </c>
      <c r="V21" s="238"/>
      <c r="W21" s="239">
        <v>-7</v>
      </c>
      <c r="X21" s="240">
        <v>0</v>
      </c>
      <c r="Y21" s="241"/>
      <c r="Z21" s="236">
        <v>-5.45</v>
      </c>
      <c r="AA21" s="242">
        <v>1</v>
      </c>
      <c r="AB21" s="238"/>
      <c r="AC21" s="239">
        <v>-5.4285714285714288</v>
      </c>
      <c r="AD21" s="240">
        <v>1</v>
      </c>
      <c r="AE21" s="241"/>
      <c r="AF21" s="236">
        <v>-7</v>
      </c>
      <c r="AG21" s="242">
        <v>0</v>
      </c>
      <c r="AH21" s="238"/>
      <c r="AI21" s="239">
        <v>-7</v>
      </c>
      <c r="AJ21" s="240">
        <v>0</v>
      </c>
      <c r="AK21" s="241"/>
      <c r="AL21" s="236">
        <v>-7</v>
      </c>
      <c r="AM21" s="242">
        <v>0</v>
      </c>
      <c r="AN21" s="238"/>
      <c r="AO21" s="239">
        <v>-4.375</v>
      </c>
      <c r="AP21" s="240">
        <v>1</v>
      </c>
      <c r="AQ21" s="241"/>
      <c r="AR21" s="236">
        <v>-7</v>
      </c>
      <c r="AS21" s="242">
        <v>0</v>
      </c>
      <c r="AT21" s="238"/>
      <c r="AU21" s="239">
        <v>-7</v>
      </c>
      <c r="AV21" s="240">
        <v>0</v>
      </c>
      <c r="AW21" s="241"/>
      <c r="AX21" s="236">
        <v>-7</v>
      </c>
      <c r="AY21" s="242">
        <v>0</v>
      </c>
      <c r="AZ21" s="238"/>
      <c r="BA21" s="239">
        <v>-7</v>
      </c>
      <c r="BB21" s="240">
        <v>0</v>
      </c>
      <c r="BC21" s="241"/>
      <c r="BD21" s="236">
        <v>-7</v>
      </c>
      <c r="BE21" s="242">
        <v>0</v>
      </c>
      <c r="BF21" s="238"/>
      <c r="BG21" s="239"/>
      <c r="BH21" s="243"/>
      <c r="BI21" s="241"/>
      <c r="BJ21" s="236"/>
      <c r="BK21" s="242"/>
      <c r="BL21" s="238"/>
      <c r="BM21" s="239"/>
      <c r="BN21" s="243"/>
      <c r="BO21" s="241"/>
      <c r="BP21" s="236"/>
      <c r="BQ21" s="242"/>
      <c r="BR21" s="238"/>
      <c r="BS21" s="239"/>
      <c r="BT21" s="240"/>
      <c r="BU21" s="241"/>
      <c r="BV21" s="239">
        <f t="shared" si="4"/>
        <v>-88.735389610389618</v>
      </c>
      <c r="BW21" s="240">
        <f t="shared" si="5"/>
        <v>6</v>
      </c>
      <c r="BX21" s="241">
        <f t="shared" si="6"/>
        <v>0</v>
      </c>
      <c r="BY21" s="48"/>
      <c r="DX21" s="49"/>
      <c r="DY21" s="49"/>
      <c r="EF21" s="46"/>
      <c r="EG21" s="46"/>
    </row>
    <row r="22" spans="1:137" hidden="1">
      <c r="A22" s="246">
        <f t="shared" si="0"/>
        <v>40</v>
      </c>
      <c r="B22" s="246">
        <f t="shared" si="1"/>
        <v>23</v>
      </c>
      <c r="C22" s="246">
        <v>29</v>
      </c>
      <c r="D22" s="290" t="str">
        <f>INDEX(Table!E:E,MATCH(E22,Table!F:F,0))</f>
        <v>B</v>
      </c>
      <c r="E22" s="232" t="s">
        <v>509</v>
      </c>
      <c r="F22" s="244">
        <f t="shared" si="2"/>
        <v>-54.353950216450222</v>
      </c>
      <c r="G22" s="54">
        <f t="shared" si="3"/>
        <v>17</v>
      </c>
      <c r="H22" s="639">
        <v>-4.8499999999999996</v>
      </c>
      <c r="I22" s="640">
        <v>1</v>
      </c>
      <c r="J22" s="234">
        <f t="shared" si="7"/>
        <v>0</v>
      </c>
      <c r="K22" s="235"/>
      <c r="L22" s="235">
        <f>INDEX(Table!M:M,MATCH(E22,Table!F:F,0))</f>
        <v>0</v>
      </c>
      <c r="M22" s="234">
        <f t="shared" si="8"/>
        <v>0</v>
      </c>
      <c r="N22" s="236">
        <v>-5.5</v>
      </c>
      <c r="O22" s="237">
        <v>1</v>
      </c>
      <c r="P22" s="238"/>
      <c r="Q22" s="239">
        <v>-1.3</v>
      </c>
      <c r="R22" s="240">
        <v>1</v>
      </c>
      <c r="S22" s="241"/>
      <c r="T22" s="236">
        <v>-7</v>
      </c>
      <c r="U22" s="242">
        <v>0</v>
      </c>
      <c r="V22" s="238"/>
      <c r="W22" s="239">
        <v>-5.05</v>
      </c>
      <c r="X22" s="240">
        <v>1</v>
      </c>
      <c r="Y22" s="241"/>
      <c r="Z22" s="236">
        <v>-1.1166666666666671</v>
      </c>
      <c r="AA22" s="242">
        <v>2</v>
      </c>
      <c r="AB22" s="238"/>
      <c r="AC22" s="239">
        <v>-7</v>
      </c>
      <c r="AD22" s="240">
        <v>0</v>
      </c>
      <c r="AE22" s="241"/>
      <c r="AF22" s="236">
        <v>-0.98749999999999982</v>
      </c>
      <c r="AG22" s="242">
        <v>2</v>
      </c>
      <c r="AH22" s="238"/>
      <c r="AI22" s="239">
        <v>-5.4285714285714288</v>
      </c>
      <c r="AJ22" s="240">
        <v>1</v>
      </c>
      <c r="AK22" s="241"/>
      <c r="AL22" s="236">
        <v>-5.4</v>
      </c>
      <c r="AM22" s="242">
        <v>1</v>
      </c>
      <c r="AN22" s="238"/>
      <c r="AO22" s="239">
        <v>6.5454545454545467</v>
      </c>
      <c r="AP22" s="240">
        <v>3</v>
      </c>
      <c r="AQ22" s="241"/>
      <c r="AR22" s="236">
        <v>-7</v>
      </c>
      <c r="AS22" s="242">
        <v>0</v>
      </c>
      <c r="AT22" s="238"/>
      <c r="AU22" s="239">
        <v>-5.2</v>
      </c>
      <c r="AV22" s="240">
        <v>1</v>
      </c>
      <c r="AW22" s="241"/>
      <c r="AX22" s="236">
        <v>-6.666666666666643E-2</v>
      </c>
      <c r="AY22" s="242">
        <v>2</v>
      </c>
      <c r="AZ22" s="238"/>
      <c r="BA22" s="239">
        <v>-5</v>
      </c>
      <c r="BB22" s="240">
        <v>1</v>
      </c>
      <c r="BC22" s="241"/>
      <c r="BD22" s="236">
        <v>-4.8499999999999996</v>
      </c>
      <c r="BE22" s="242">
        <v>1</v>
      </c>
      <c r="BF22" s="238"/>
      <c r="BG22" s="239"/>
      <c r="BH22" s="243"/>
      <c r="BI22" s="241"/>
      <c r="BJ22" s="236"/>
      <c r="BK22" s="242"/>
      <c r="BL22" s="238"/>
      <c r="BM22" s="239"/>
      <c r="BN22" s="243"/>
      <c r="BO22" s="241"/>
      <c r="BP22" s="236"/>
      <c r="BQ22" s="242"/>
      <c r="BR22" s="238"/>
      <c r="BS22" s="239"/>
      <c r="BT22" s="240"/>
      <c r="BU22" s="241"/>
      <c r="BV22" s="239">
        <f t="shared" si="4"/>
        <v>-54.353950216450208</v>
      </c>
      <c r="BW22" s="240">
        <f t="shared" si="5"/>
        <v>17</v>
      </c>
      <c r="BX22" s="241">
        <f t="shared" si="6"/>
        <v>0</v>
      </c>
      <c r="BY22" s="48"/>
      <c r="DX22" s="49"/>
      <c r="DY22" s="49"/>
      <c r="EF22" s="46"/>
      <c r="EG22" s="46"/>
    </row>
    <row r="23" spans="1:137">
      <c r="A23" s="246">
        <f t="shared" si="0"/>
        <v>42</v>
      </c>
      <c r="B23" s="246">
        <f t="shared" si="1"/>
        <v>2</v>
      </c>
      <c r="C23" s="246">
        <v>34</v>
      </c>
      <c r="D23" s="290" t="str">
        <f>INDEX(Table!E:E,MATCH(E23,Table!F:F,0))</f>
        <v>C</v>
      </c>
      <c r="E23" s="232" t="s">
        <v>288</v>
      </c>
      <c r="F23" s="244">
        <f t="shared" si="2"/>
        <v>-56.95</v>
      </c>
      <c r="G23" s="54">
        <f t="shared" si="3"/>
        <v>10</v>
      </c>
      <c r="H23" s="639">
        <v>14</v>
      </c>
      <c r="I23" s="640">
        <v>2</v>
      </c>
      <c r="J23" s="234">
        <f t="shared" si="7"/>
        <v>5</v>
      </c>
      <c r="K23" s="235"/>
      <c r="L23" s="235">
        <f>INDEX(Table!M:M,MATCH(E23,Table!F:F,0))</f>
        <v>0</v>
      </c>
      <c r="M23" s="234">
        <f t="shared" si="8"/>
        <v>5</v>
      </c>
      <c r="N23" s="236">
        <v>-7</v>
      </c>
      <c r="O23" s="237">
        <v>0</v>
      </c>
      <c r="P23" s="238"/>
      <c r="Q23" s="239">
        <v>-7</v>
      </c>
      <c r="R23" s="240">
        <v>0</v>
      </c>
      <c r="S23" s="241"/>
      <c r="T23" s="236">
        <v>-7</v>
      </c>
      <c r="U23" s="242">
        <v>0</v>
      </c>
      <c r="V23" s="238"/>
      <c r="W23" s="239">
        <v>-7</v>
      </c>
      <c r="X23" s="240">
        <v>0</v>
      </c>
      <c r="Y23" s="241"/>
      <c r="Z23" s="236">
        <v>-7</v>
      </c>
      <c r="AA23" s="242">
        <v>0</v>
      </c>
      <c r="AB23" s="238"/>
      <c r="AC23" s="239">
        <v>-3.1</v>
      </c>
      <c r="AD23" s="240">
        <v>1</v>
      </c>
      <c r="AE23" s="241"/>
      <c r="AF23" s="236">
        <v>-3.7</v>
      </c>
      <c r="AG23" s="242">
        <v>1</v>
      </c>
      <c r="AH23" s="238"/>
      <c r="AI23" s="239">
        <v>-4.8</v>
      </c>
      <c r="AJ23" s="240">
        <v>1</v>
      </c>
      <c r="AK23" s="241"/>
      <c r="AL23" s="236">
        <v>-3.9</v>
      </c>
      <c r="AM23" s="242">
        <v>1</v>
      </c>
      <c r="AN23" s="238"/>
      <c r="AO23" s="239">
        <v>-7</v>
      </c>
      <c r="AP23" s="240">
        <v>0</v>
      </c>
      <c r="AQ23" s="241"/>
      <c r="AR23" s="236">
        <v>-3.2</v>
      </c>
      <c r="AS23" s="242">
        <v>1</v>
      </c>
      <c r="AT23" s="238"/>
      <c r="AU23" s="239">
        <v>-3.3</v>
      </c>
      <c r="AV23" s="240">
        <v>1</v>
      </c>
      <c r="AW23" s="241"/>
      <c r="AX23" s="236">
        <v>-3.2</v>
      </c>
      <c r="AY23" s="242">
        <v>1</v>
      </c>
      <c r="AZ23" s="238"/>
      <c r="BA23" s="239">
        <v>-3.75</v>
      </c>
      <c r="BB23" s="240">
        <v>1</v>
      </c>
      <c r="BC23" s="241"/>
      <c r="BD23" s="236">
        <v>14</v>
      </c>
      <c r="BE23" s="242">
        <v>2</v>
      </c>
      <c r="BF23" s="238">
        <v>5</v>
      </c>
      <c r="BG23" s="239"/>
      <c r="BH23" s="243"/>
      <c r="BI23" s="241"/>
      <c r="BJ23" s="236"/>
      <c r="BK23" s="242"/>
      <c r="BL23" s="238"/>
      <c r="BM23" s="239"/>
      <c r="BN23" s="243"/>
      <c r="BO23" s="241"/>
      <c r="BP23" s="236"/>
      <c r="BQ23" s="242"/>
      <c r="BR23" s="238"/>
      <c r="BS23" s="239"/>
      <c r="BT23" s="240"/>
      <c r="BU23" s="241"/>
      <c r="BV23" s="239">
        <f t="shared" si="4"/>
        <v>-56.95</v>
      </c>
      <c r="BW23" s="240">
        <f t="shared" si="5"/>
        <v>10</v>
      </c>
      <c r="BX23" s="241">
        <f t="shared" si="6"/>
        <v>5</v>
      </c>
      <c r="BY23" s="48"/>
      <c r="DX23" s="49"/>
      <c r="DY23" s="49"/>
      <c r="EF23" s="46"/>
      <c r="EG23" s="46"/>
    </row>
    <row r="24" spans="1:137">
      <c r="A24" s="246">
        <f t="shared" si="0"/>
        <v>2</v>
      </c>
      <c r="B24" s="246">
        <f t="shared" si="1"/>
        <v>1</v>
      </c>
      <c r="C24" s="246">
        <v>34</v>
      </c>
      <c r="D24" s="290" t="str">
        <f>INDEX(Table!E:E,MATCH(E24,Table!F:F,0))</f>
        <v>A</v>
      </c>
      <c r="E24" s="232" t="s">
        <v>362</v>
      </c>
      <c r="F24" s="244">
        <f t="shared" si="2"/>
        <v>73.850000000000009</v>
      </c>
      <c r="G24" s="54">
        <f t="shared" si="3"/>
        <v>19</v>
      </c>
      <c r="H24" s="639">
        <v>62.2</v>
      </c>
      <c r="I24" s="640">
        <v>3</v>
      </c>
      <c r="J24" s="234">
        <f t="shared" si="7"/>
        <v>30</v>
      </c>
      <c r="K24" s="235"/>
      <c r="L24" s="235">
        <f>INDEX(Table!M:M,MATCH(E24,Table!F:F,0))</f>
        <v>43.75</v>
      </c>
      <c r="M24" s="234">
        <f t="shared" si="8"/>
        <v>73.75</v>
      </c>
      <c r="N24" s="236">
        <v>-7</v>
      </c>
      <c r="O24" s="237">
        <v>0</v>
      </c>
      <c r="P24" s="238"/>
      <c r="Q24" s="239">
        <v>-4.5999999999999996</v>
      </c>
      <c r="R24" s="240">
        <v>1</v>
      </c>
      <c r="S24" s="241"/>
      <c r="T24" s="236">
        <v>-3.6</v>
      </c>
      <c r="U24" s="242">
        <v>1</v>
      </c>
      <c r="V24" s="238"/>
      <c r="W24" s="239">
        <v>-4.5</v>
      </c>
      <c r="X24" s="240">
        <v>1</v>
      </c>
      <c r="Y24" s="241"/>
      <c r="Z24" s="236">
        <v>36.370000000000005</v>
      </c>
      <c r="AA24" s="242">
        <v>3</v>
      </c>
      <c r="AB24" s="238">
        <v>10</v>
      </c>
      <c r="AC24" s="239">
        <v>-4.8</v>
      </c>
      <c r="AD24" s="240">
        <v>1</v>
      </c>
      <c r="AE24" s="241"/>
      <c r="AF24" s="236">
        <v>-3.8</v>
      </c>
      <c r="AG24" s="242">
        <v>1</v>
      </c>
      <c r="AH24" s="238"/>
      <c r="AI24" s="239">
        <v>6.08</v>
      </c>
      <c r="AJ24" s="240">
        <v>2</v>
      </c>
      <c r="AK24" s="241"/>
      <c r="AL24" s="236">
        <v>-7</v>
      </c>
      <c r="AM24" s="242">
        <v>0</v>
      </c>
      <c r="AN24" s="238"/>
      <c r="AO24" s="239">
        <v>-4.5</v>
      </c>
      <c r="AP24" s="240">
        <v>1</v>
      </c>
      <c r="AQ24" s="241"/>
      <c r="AR24" s="236">
        <v>-4.25</v>
      </c>
      <c r="AS24" s="242">
        <v>1</v>
      </c>
      <c r="AT24" s="238"/>
      <c r="AU24" s="239">
        <v>-7</v>
      </c>
      <c r="AV24" s="240">
        <v>0</v>
      </c>
      <c r="AW24" s="241"/>
      <c r="AX24" s="236">
        <v>9.25</v>
      </c>
      <c r="AY24" s="242">
        <v>2</v>
      </c>
      <c r="AZ24" s="238">
        <v>5</v>
      </c>
      <c r="BA24" s="239">
        <v>11</v>
      </c>
      <c r="BB24" s="240">
        <v>2</v>
      </c>
      <c r="BC24" s="241">
        <v>5</v>
      </c>
      <c r="BD24" s="236">
        <v>62.2</v>
      </c>
      <c r="BE24" s="242">
        <v>3</v>
      </c>
      <c r="BF24" s="238">
        <v>10</v>
      </c>
      <c r="BG24" s="239"/>
      <c r="BH24" s="243"/>
      <c r="BI24" s="241"/>
      <c r="BJ24" s="236"/>
      <c r="BK24" s="242"/>
      <c r="BL24" s="238"/>
      <c r="BM24" s="239"/>
      <c r="BN24" s="243"/>
      <c r="BO24" s="241"/>
      <c r="BP24" s="236"/>
      <c r="BQ24" s="242"/>
      <c r="BR24" s="238"/>
      <c r="BS24" s="239"/>
      <c r="BT24" s="240"/>
      <c r="BU24" s="241"/>
      <c r="BV24" s="239">
        <f t="shared" si="4"/>
        <v>73.850000000000023</v>
      </c>
      <c r="BW24" s="240">
        <f t="shared" si="5"/>
        <v>19</v>
      </c>
      <c r="BX24" s="241">
        <f t="shared" si="6"/>
        <v>30</v>
      </c>
      <c r="BY24" s="48"/>
      <c r="DX24" s="49"/>
      <c r="DY24" s="49"/>
      <c r="EF24" s="46"/>
      <c r="EG24" s="46"/>
    </row>
    <row r="25" spans="1:137" hidden="1">
      <c r="A25" s="246">
        <f t="shared" si="0"/>
        <v>14</v>
      </c>
      <c r="B25" s="246">
        <f t="shared" si="1"/>
        <v>9</v>
      </c>
      <c r="C25" s="246">
        <v>18</v>
      </c>
      <c r="D25" s="290" t="str">
        <f>INDEX(Table!E:E,MATCH(E25,Table!F:F,0))</f>
        <v>B</v>
      </c>
      <c r="E25" s="232" t="s">
        <v>276</v>
      </c>
      <c r="F25" s="244">
        <f t="shared" si="2"/>
        <v>-8.5657750068861187</v>
      </c>
      <c r="G25" s="54">
        <f t="shared" si="3"/>
        <v>24</v>
      </c>
      <c r="H25" s="639">
        <v>0.83500000000000085</v>
      </c>
      <c r="I25" s="640">
        <v>2</v>
      </c>
      <c r="J25" s="234">
        <f t="shared" si="7"/>
        <v>10</v>
      </c>
      <c r="K25" s="235"/>
      <c r="L25" s="235">
        <f>INDEX(Table!M:M,MATCH(E25,Table!F:F,0))</f>
        <v>14.699999999999998</v>
      </c>
      <c r="M25" s="234">
        <f t="shared" si="8"/>
        <v>24.699999999999996</v>
      </c>
      <c r="N25" s="236">
        <v>-1.75</v>
      </c>
      <c r="O25" s="237">
        <v>2</v>
      </c>
      <c r="P25" s="238"/>
      <c r="Q25" s="239">
        <v>-4.95</v>
      </c>
      <c r="R25" s="240">
        <v>1</v>
      </c>
      <c r="S25" s="241"/>
      <c r="T25" s="236">
        <v>-7</v>
      </c>
      <c r="U25" s="242">
        <v>0</v>
      </c>
      <c r="V25" s="238"/>
      <c r="W25" s="239">
        <v>13.760000000000002</v>
      </c>
      <c r="X25" s="240">
        <v>2</v>
      </c>
      <c r="Y25" s="241">
        <v>5</v>
      </c>
      <c r="Z25" s="236">
        <v>-5.3</v>
      </c>
      <c r="AA25" s="242">
        <v>1</v>
      </c>
      <c r="AB25" s="238"/>
      <c r="AC25" s="239">
        <v>-5.4285714285714288</v>
      </c>
      <c r="AD25" s="240">
        <v>1</v>
      </c>
      <c r="AE25" s="241"/>
      <c r="AF25" s="236">
        <v>2.0519480519480506</v>
      </c>
      <c r="AG25" s="242">
        <v>3</v>
      </c>
      <c r="AH25" s="238"/>
      <c r="AI25" s="239">
        <v>-5.2</v>
      </c>
      <c r="AJ25" s="240">
        <v>1</v>
      </c>
      <c r="AK25" s="241"/>
      <c r="AL25" s="236">
        <v>5.9423868312757193</v>
      </c>
      <c r="AM25" s="242">
        <v>3</v>
      </c>
      <c r="AN25" s="238"/>
      <c r="AO25" s="239">
        <v>-3.1</v>
      </c>
      <c r="AP25" s="240">
        <v>1</v>
      </c>
      <c r="AQ25" s="241"/>
      <c r="AR25" s="236">
        <v>-5.15</v>
      </c>
      <c r="AS25" s="242">
        <v>1</v>
      </c>
      <c r="AT25" s="238"/>
      <c r="AU25" s="239">
        <v>4.6849999999999987</v>
      </c>
      <c r="AV25" s="240">
        <v>2</v>
      </c>
      <c r="AW25" s="241">
        <v>5</v>
      </c>
      <c r="AX25" s="236">
        <v>1.5</v>
      </c>
      <c r="AY25" s="242">
        <v>2</v>
      </c>
      <c r="AZ25" s="238"/>
      <c r="BA25" s="239">
        <v>0.53846153846153832</v>
      </c>
      <c r="BB25" s="240">
        <v>2</v>
      </c>
      <c r="BC25" s="241"/>
      <c r="BD25" s="236">
        <v>0.83500000000000085</v>
      </c>
      <c r="BE25" s="242">
        <v>2</v>
      </c>
      <c r="BF25" s="238"/>
      <c r="BG25" s="239"/>
      <c r="BH25" s="243"/>
      <c r="BI25" s="241"/>
      <c r="BJ25" s="236"/>
      <c r="BK25" s="242"/>
      <c r="BL25" s="238"/>
      <c r="BM25" s="239"/>
      <c r="BN25" s="243"/>
      <c r="BO25" s="241"/>
      <c r="BP25" s="236"/>
      <c r="BQ25" s="242"/>
      <c r="BR25" s="238"/>
      <c r="BS25" s="239"/>
      <c r="BT25" s="240"/>
      <c r="BU25" s="241"/>
      <c r="BV25" s="239">
        <f t="shared" si="4"/>
        <v>-8.5657750068861205</v>
      </c>
      <c r="BW25" s="240">
        <f t="shared" si="5"/>
        <v>24</v>
      </c>
      <c r="BX25" s="241">
        <f t="shared" si="6"/>
        <v>10</v>
      </c>
      <c r="BY25" s="48"/>
      <c r="DX25" s="49"/>
      <c r="DY25" s="49"/>
      <c r="EF25" s="46"/>
      <c r="EG25" s="46"/>
    </row>
    <row r="26" spans="1:137" hidden="1">
      <c r="A26" s="246">
        <f t="shared" si="0"/>
        <v>36</v>
      </c>
      <c r="B26" s="246">
        <f t="shared" si="1"/>
        <v>27</v>
      </c>
      <c r="C26" s="246">
        <v>32</v>
      </c>
      <c r="D26" s="290" t="str">
        <f>INDEX(Table!E:E,MATCH(E26,Table!F:F,0))</f>
        <v>A</v>
      </c>
      <c r="E26" s="232" t="s">
        <v>293</v>
      </c>
      <c r="F26" s="244">
        <f t="shared" si="2"/>
        <v>-49.135627705627698</v>
      </c>
      <c r="G26" s="54">
        <f t="shared" si="3"/>
        <v>18</v>
      </c>
      <c r="H26" s="639">
        <v>-5</v>
      </c>
      <c r="I26" s="640">
        <v>1</v>
      </c>
      <c r="J26" s="234">
        <f t="shared" si="7"/>
        <v>0</v>
      </c>
      <c r="K26" s="235"/>
      <c r="L26" s="235">
        <f>INDEX(Table!M:M,MATCH(E26,Table!F:F,0))</f>
        <v>0</v>
      </c>
      <c r="M26" s="234">
        <f t="shared" si="8"/>
        <v>0</v>
      </c>
      <c r="N26" s="236">
        <v>-5.7</v>
      </c>
      <c r="O26" s="237">
        <v>1</v>
      </c>
      <c r="P26" s="238"/>
      <c r="Q26" s="239">
        <v>2.75</v>
      </c>
      <c r="R26" s="240">
        <v>2</v>
      </c>
      <c r="S26" s="241"/>
      <c r="T26" s="236">
        <v>-5.2</v>
      </c>
      <c r="U26" s="242">
        <v>1</v>
      </c>
      <c r="V26" s="238"/>
      <c r="W26" s="239">
        <v>-3.7</v>
      </c>
      <c r="X26" s="240">
        <v>1</v>
      </c>
      <c r="Y26" s="241"/>
      <c r="Z26" s="236">
        <v>-5.45</v>
      </c>
      <c r="AA26" s="242">
        <v>1</v>
      </c>
      <c r="AB26" s="238"/>
      <c r="AC26" s="239">
        <v>-5.4285714285714288</v>
      </c>
      <c r="AD26" s="240">
        <v>1</v>
      </c>
      <c r="AE26" s="241"/>
      <c r="AF26" s="236">
        <v>-7</v>
      </c>
      <c r="AG26" s="242">
        <v>0</v>
      </c>
      <c r="AH26" s="238"/>
      <c r="AI26" s="239">
        <v>-5.4285714285714288</v>
      </c>
      <c r="AJ26" s="240">
        <v>1</v>
      </c>
      <c r="AK26" s="241"/>
      <c r="AL26" s="236">
        <v>-7</v>
      </c>
      <c r="AM26" s="242">
        <v>0</v>
      </c>
      <c r="AN26" s="238"/>
      <c r="AO26" s="239">
        <v>-2.1818181818181817</v>
      </c>
      <c r="AP26" s="240">
        <v>2</v>
      </c>
      <c r="AQ26" s="241"/>
      <c r="AR26" s="236">
        <v>-1.75</v>
      </c>
      <c r="AS26" s="242">
        <v>2</v>
      </c>
      <c r="AT26" s="238"/>
      <c r="AU26" s="239">
        <v>4.32</v>
      </c>
      <c r="AV26" s="240">
        <v>2</v>
      </c>
      <c r="AW26" s="241"/>
      <c r="AX26" s="236">
        <v>-5.1666666666666661</v>
      </c>
      <c r="AY26" s="242">
        <v>1</v>
      </c>
      <c r="AZ26" s="238"/>
      <c r="BA26" s="239">
        <v>2.8000000000000007</v>
      </c>
      <c r="BB26" s="240">
        <v>2</v>
      </c>
      <c r="BC26" s="241"/>
      <c r="BD26" s="236">
        <v>-5</v>
      </c>
      <c r="BE26" s="242">
        <v>1</v>
      </c>
      <c r="BF26" s="238"/>
      <c r="BG26" s="239"/>
      <c r="BH26" s="243"/>
      <c r="BI26" s="241"/>
      <c r="BJ26" s="236"/>
      <c r="BK26" s="242"/>
      <c r="BL26" s="238"/>
      <c r="BM26" s="239"/>
      <c r="BN26" s="243"/>
      <c r="BO26" s="241"/>
      <c r="BP26" s="236"/>
      <c r="BQ26" s="242"/>
      <c r="BR26" s="238"/>
      <c r="BS26" s="239"/>
      <c r="BT26" s="240"/>
      <c r="BU26" s="241"/>
      <c r="BV26" s="239">
        <f t="shared" si="4"/>
        <v>-49.135627705627719</v>
      </c>
      <c r="BW26" s="240">
        <f t="shared" si="5"/>
        <v>18</v>
      </c>
      <c r="BX26" s="241">
        <f t="shared" si="6"/>
        <v>0</v>
      </c>
      <c r="BY26" s="48"/>
      <c r="DX26" s="49"/>
      <c r="DY26" s="49"/>
      <c r="EF26" s="46"/>
      <c r="EG26" s="46"/>
    </row>
    <row r="27" spans="1:137" hidden="1">
      <c r="A27" s="246">
        <f t="shared" si="0"/>
        <v>23</v>
      </c>
      <c r="B27" s="246">
        <f t="shared" si="1"/>
        <v>13</v>
      </c>
      <c r="C27" s="246">
        <v>8</v>
      </c>
      <c r="D27" s="290" t="str">
        <f>INDEX(Table!E:E,MATCH(E27,Table!F:F,0))</f>
        <v>A</v>
      </c>
      <c r="E27" s="232" t="s">
        <v>303</v>
      </c>
      <c r="F27" s="244">
        <f t="shared" si="2"/>
        <v>-27.178156565656561</v>
      </c>
      <c r="G27" s="54">
        <f t="shared" si="3"/>
        <v>20</v>
      </c>
      <c r="H27" s="639">
        <v>-0.52666666666666728</v>
      </c>
      <c r="I27" s="640">
        <v>2</v>
      </c>
      <c r="J27" s="234">
        <f t="shared" si="7"/>
        <v>5</v>
      </c>
      <c r="K27" s="235"/>
      <c r="L27" s="235">
        <f>INDEX(Table!M:M,MATCH(E27,Table!F:F,0))</f>
        <v>0</v>
      </c>
      <c r="M27" s="234">
        <f t="shared" si="8"/>
        <v>5</v>
      </c>
      <c r="N27" s="236">
        <v>1.3150000000000013</v>
      </c>
      <c r="O27" s="237">
        <v>2</v>
      </c>
      <c r="P27" s="238"/>
      <c r="Q27" s="239">
        <v>-3.3</v>
      </c>
      <c r="R27" s="240">
        <v>1</v>
      </c>
      <c r="S27" s="241"/>
      <c r="T27" s="236">
        <v>-1.9999999999999574E-2</v>
      </c>
      <c r="U27" s="242">
        <v>2</v>
      </c>
      <c r="V27" s="238"/>
      <c r="W27" s="239">
        <v>-5.2727272727272725</v>
      </c>
      <c r="X27" s="240">
        <v>1</v>
      </c>
      <c r="Y27" s="241"/>
      <c r="Z27" s="236">
        <v>8.1999999999999993</v>
      </c>
      <c r="AA27" s="242">
        <v>2</v>
      </c>
      <c r="AB27" s="238">
        <v>5</v>
      </c>
      <c r="AC27" s="239">
        <v>-7</v>
      </c>
      <c r="AD27" s="240">
        <v>0</v>
      </c>
      <c r="AE27" s="241"/>
      <c r="AF27" s="236">
        <v>-5.1666666666666661</v>
      </c>
      <c r="AG27" s="242">
        <v>1</v>
      </c>
      <c r="AH27" s="238"/>
      <c r="AI27" s="239">
        <v>-5.0909090909090908</v>
      </c>
      <c r="AJ27" s="240">
        <v>1</v>
      </c>
      <c r="AK27" s="241"/>
      <c r="AL27" s="236">
        <v>-5.0909090909090908</v>
      </c>
      <c r="AM27" s="242">
        <v>1</v>
      </c>
      <c r="AN27" s="238"/>
      <c r="AO27" s="239">
        <v>-1.7777777777777786</v>
      </c>
      <c r="AP27" s="240">
        <v>2</v>
      </c>
      <c r="AQ27" s="241"/>
      <c r="AR27" s="236">
        <v>1.0625</v>
      </c>
      <c r="AS27" s="242">
        <v>2</v>
      </c>
      <c r="AT27" s="238"/>
      <c r="AU27" s="239">
        <v>-7</v>
      </c>
      <c r="AV27" s="240">
        <v>0</v>
      </c>
      <c r="AW27" s="241"/>
      <c r="AX27" s="236">
        <v>7.6400000000000006</v>
      </c>
      <c r="AY27" s="242">
        <v>2</v>
      </c>
      <c r="AZ27" s="238"/>
      <c r="BA27" s="239">
        <v>-5.15</v>
      </c>
      <c r="BB27" s="240">
        <v>1</v>
      </c>
      <c r="BC27" s="241"/>
      <c r="BD27" s="236">
        <v>-0.52666666666666728</v>
      </c>
      <c r="BE27" s="242">
        <v>2</v>
      </c>
      <c r="BF27" s="238"/>
      <c r="BG27" s="239"/>
      <c r="BH27" s="243"/>
      <c r="BI27" s="241"/>
      <c r="BJ27" s="236"/>
      <c r="BK27" s="242"/>
      <c r="BL27" s="238"/>
      <c r="BM27" s="239"/>
      <c r="BN27" s="243"/>
      <c r="BO27" s="241"/>
      <c r="BP27" s="236"/>
      <c r="BQ27" s="242"/>
      <c r="BR27" s="238"/>
      <c r="BS27" s="239"/>
      <c r="BT27" s="240"/>
      <c r="BU27" s="241"/>
      <c r="BV27" s="239">
        <f t="shared" si="4"/>
        <v>-27.178156565656565</v>
      </c>
      <c r="BW27" s="240">
        <f t="shared" si="5"/>
        <v>20</v>
      </c>
      <c r="BX27" s="241">
        <f t="shared" si="6"/>
        <v>5</v>
      </c>
      <c r="BY27" s="48"/>
      <c r="DX27" s="49"/>
      <c r="DY27" s="49"/>
      <c r="EF27" s="46"/>
      <c r="EG27" s="46"/>
    </row>
    <row r="28" spans="1:137" hidden="1">
      <c r="A28" s="246">
        <f t="shared" si="0"/>
        <v>47</v>
      </c>
      <c r="B28" s="246">
        <f t="shared" si="1"/>
        <v>35</v>
      </c>
      <c r="C28" s="246">
        <v>34</v>
      </c>
      <c r="D28" s="290" t="str">
        <f>INDEX(Table!E:E,MATCH(E28,Table!F:F,0))</f>
        <v>C</v>
      </c>
      <c r="E28" s="232" t="s">
        <v>506</v>
      </c>
      <c r="F28" s="244">
        <f t="shared" si="2"/>
        <v>-89.1875</v>
      </c>
      <c r="G28" s="54">
        <f t="shared" si="3"/>
        <v>3</v>
      </c>
      <c r="H28" s="639">
        <v>-7</v>
      </c>
      <c r="I28" s="640">
        <v>0</v>
      </c>
      <c r="J28" s="234">
        <f t="shared" si="7"/>
        <v>0</v>
      </c>
      <c r="K28" s="235"/>
      <c r="L28" s="235">
        <f>INDEX(Table!M:M,MATCH(E28,Table!F:F,0))</f>
        <v>0</v>
      </c>
      <c r="M28" s="234">
        <f t="shared" si="8"/>
        <v>0</v>
      </c>
      <c r="N28" s="236">
        <v>-7</v>
      </c>
      <c r="O28" s="237">
        <v>0</v>
      </c>
      <c r="P28" s="238"/>
      <c r="Q28" s="239">
        <v>6.5124999999999993</v>
      </c>
      <c r="R28" s="240">
        <v>2</v>
      </c>
      <c r="S28" s="241"/>
      <c r="T28" s="236">
        <v>-4.7</v>
      </c>
      <c r="U28" s="242">
        <v>1</v>
      </c>
      <c r="V28" s="238"/>
      <c r="W28" s="239">
        <v>-7</v>
      </c>
      <c r="X28" s="240">
        <v>0</v>
      </c>
      <c r="Y28" s="241"/>
      <c r="Z28" s="236">
        <v>-7</v>
      </c>
      <c r="AA28" s="242">
        <v>0</v>
      </c>
      <c r="AB28" s="238"/>
      <c r="AC28" s="239">
        <v>-7</v>
      </c>
      <c r="AD28" s="240">
        <v>0</v>
      </c>
      <c r="AE28" s="241"/>
      <c r="AF28" s="236">
        <v>-7</v>
      </c>
      <c r="AG28" s="242">
        <v>0</v>
      </c>
      <c r="AH28" s="238"/>
      <c r="AI28" s="239">
        <v>-7</v>
      </c>
      <c r="AJ28" s="240">
        <v>0</v>
      </c>
      <c r="AK28" s="241"/>
      <c r="AL28" s="236">
        <v>-7</v>
      </c>
      <c r="AM28" s="242">
        <v>0</v>
      </c>
      <c r="AN28" s="238"/>
      <c r="AO28" s="239">
        <v>-7</v>
      </c>
      <c r="AP28" s="240">
        <v>0</v>
      </c>
      <c r="AQ28" s="241"/>
      <c r="AR28" s="236">
        <v>-7</v>
      </c>
      <c r="AS28" s="242">
        <v>0</v>
      </c>
      <c r="AT28" s="238"/>
      <c r="AU28" s="239">
        <v>-7</v>
      </c>
      <c r="AV28" s="240">
        <v>0</v>
      </c>
      <c r="AW28" s="241"/>
      <c r="AX28" s="236">
        <v>-7</v>
      </c>
      <c r="AY28" s="242">
        <v>0</v>
      </c>
      <c r="AZ28" s="238"/>
      <c r="BA28" s="239">
        <v>-7</v>
      </c>
      <c r="BB28" s="240">
        <v>0</v>
      </c>
      <c r="BC28" s="241"/>
      <c r="BD28" s="236">
        <v>-7</v>
      </c>
      <c r="BE28" s="242">
        <v>0</v>
      </c>
      <c r="BF28" s="238"/>
      <c r="BG28" s="239"/>
      <c r="BH28" s="243"/>
      <c r="BI28" s="241"/>
      <c r="BJ28" s="236"/>
      <c r="BK28" s="242"/>
      <c r="BL28" s="238"/>
      <c r="BM28" s="239"/>
      <c r="BN28" s="243"/>
      <c r="BO28" s="241"/>
      <c r="BP28" s="236"/>
      <c r="BQ28" s="242"/>
      <c r="BR28" s="238"/>
      <c r="BS28" s="239"/>
      <c r="BT28" s="240"/>
      <c r="BU28" s="241"/>
      <c r="BV28" s="239">
        <f t="shared" si="4"/>
        <v>-89.1875</v>
      </c>
      <c r="BW28" s="240">
        <f t="shared" si="5"/>
        <v>3</v>
      </c>
      <c r="BX28" s="241">
        <f t="shared" si="6"/>
        <v>0</v>
      </c>
      <c r="BY28" s="48"/>
      <c r="DX28" s="49"/>
      <c r="DY28" s="49"/>
      <c r="EF28" s="46"/>
      <c r="EG28" s="46"/>
    </row>
    <row r="29" spans="1:137" hidden="1">
      <c r="A29" s="246">
        <f t="shared" si="0"/>
        <v>48</v>
      </c>
      <c r="B29" s="246">
        <f t="shared" si="1"/>
        <v>35</v>
      </c>
      <c r="C29" s="246">
        <v>34</v>
      </c>
      <c r="D29" s="290" t="str">
        <f>INDEX(Table!E:E,MATCH(E29,Table!F:F,0))</f>
        <v>C</v>
      </c>
      <c r="E29" s="232" t="s">
        <v>515</v>
      </c>
      <c r="F29" s="244">
        <f t="shared" si="2"/>
        <v>-105</v>
      </c>
      <c r="G29" s="54">
        <f t="shared" si="3"/>
        <v>0</v>
      </c>
      <c r="H29" s="639">
        <v>-7</v>
      </c>
      <c r="I29" s="640">
        <v>0</v>
      </c>
      <c r="J29" s="234">
        <f t="shared" si="7"/>
        <v>0</v>
      </c>
      <c r="K29" s="235"/>
      <c r="L29" s="235">
        <f>INDEX(Table!M:M,MATCH(E29,Table!F:F,0))</f>
        <v>0</v>
      </c>
      <c r="M29" s="234">
        <f t="shared" si="8"/>
        <v>0</v>
      </c>
      <c r="N29" s="236">
        <v>-7</v>
      </c>
      <c r="O29" s="237">
        <v>0</v>
      </c>
      <c r="P29" s="238"/>
      <c r="Q29" s="239">
        <v>-7</v>
      </c>
      <c r="R29" s="240">
        <v>0</v>
      </c>
      <c r="S29" s="241"/>
      <c r="T29" s="236">
        <v>-7</v>
      </c>
      <c r="U29" s="242">
        <v>0</v>
      </c>
      <c r="V29" s="238"/>
      <c r="W29" s="239">
        <v>-7</v>
      </c>
      <c r="X29" s="240">
        <v>0</v>
      </c>
      <c r="Y29" s="241"/>
      <c r="Z29" s="236">
        <v>-7</v>
      </c>
      <c r="AA29" s="242">
        <v>0</v>
      </c>
      <c r="AB29" s="238"/>
      <c r="AC29" s="239">
        <v>-7</v>
      </c>
      <c r="AD29" s="240">
        <v>0</v>
      </c>
      <c r="AE29" s="241"/>
      <c r="AF29" s="236">
        <v>-7</v>
      </c>
      <c r="AG29" s="242">
        <v>0</v>
      </c>
      <c r="AH29" s="238"/>
      <c r="AI29" s="239">
        <v>-7</v>
      </c>
      <c r="AJ29" s="240">
        <v>0</v>
      </c>
      <c r="AK29" s="241"/>
      <c r="AL29" s="236">
        <v>-7</v>
      </c>
      <c r="AM29" s="242">
        <v>0</v>
      </c>
      <c r="AN29" s="238"/>
      <c r="AO29" s="239">
        <v>-7</v>
      </c>
      <c r="AP29" s="240">
        <v>0</v>
      </c>
      <c r="AQ29" s="241"/>
      <c r="AR29" s="236">
        <v>-7</v>
      </c>
      <c r="AS29" s="242">
        <v>0</v>
      </c>
      <c r="AT29" s="238"/>
      <c r="AU29" s="239">
        <v>-7</v>
      </c>
      <c r="AV29" s="240">
        <v>0</v>
      </c>
      <c r="AW29" s="241"/>
      <c r="AX29" s="236">
        <v>-7</v>
      </c>
      <c r="AY29" s="242">
        <v>0</v>
      </c>
      <c r="AZ29" s="238"/>
      <c r="BA29" s="239">
        <v>-7</v>
      </c>
      <c r="BB29" s="240">
        <v>0</v>
      </c>
      <c r="BC29" s="241"/>
      <c r="BD29" s="236">
        <v>-7</v>
      </c>
      <c r="BE29" s="242">
        <v>0</v>
      </c>
      <c r="BF29" s="238"/>
      <c r="BG29" s="239"/>
      <c r="BH29" s="243"/>
      <c r="BI29" s="241"/>
      <c r="BJ29" s="236"/>
      <c r="BK29" s="242"/>
      <c r="BL29" s="238"/>
      <c r="BM29" s="239"/>
      <c r="BN29" s="243"/>
      <c r="BO29" s="241"/>
      <c r="BP29" s="236"/>
      <c r="BQ29" s="242"/>
      <c r="BR29" s="238"/>
      <c r="BS29" s="239"/>
      <c r="BT29" s="240"/>
      <c r="BU29" s="241"/>
      <c r="BV29" s="239">
        <f t="shared" si="4"/>
        <v>-105</v>
      </c>
      <c r="BW29" s="240">
        <f t="shared" si="5"/>
        <v>0</v>
      </c>
      <c r="BX29" s="241">
        <f t="shared" si="6"/>
        <v>0</v>
      </c>
      <c r="BY29" s="48"/>
      <c r="DX29" s="49"/>
      <c r="DY29" s="49"/>
      <c r="EF29" s="46"/>
      <c r="EG29" s="46"/>
    </row>
    <row r="30" spans="1:137" hidden="1">
      <c r="A30" s="246">
        <f t="shared" si="0"/>
        <v>9</v>
      </c>
      <c r="B30" s="246">
        <f t="shared" si="1"/>
        <v>14</v>
      </c>
      <c r="C30" s="246">
        <v>24</v>
      </c>
      <c r="D30" s="290" t="str">
        <f>INDEX(Table!E:E,MATCH(E30,Table!F:F,0))</f>
        <v>C</v>
      </c>
      <c r="E30" s="232" t="s">
        <v>294</v>
      </c>
      <c r="F30" s="244">
        <f t="shared" si="2"/>
        <v>7.1079545454545396</v>
      </c>
      <c r="G30" s="54">
        <f t="shared" si="3"/>
        <v>26</v>
      </c>
      <c r="H30" s="639">
        <v>-0.63030303030303081</v>
      </c>
      <c r="I30" s="640">
        <v>2</v>
      </c>
      <c r="J30" s="234">
        <f t="shared" si="7"/>
        <v>5</v>
      </c>
      <c r="K30" s="235"/>
      <c r="L30" s="235">
        <f>INDEX(Table!M:M,MATCH(E30,Table!F:F,0))</f>
        <v>6.3</v>
      </c>
      <c r="M30" s="234">
        <f t="shared" si="8"/>
        <v>11.3</v>
      </c>
      <c r="N30" s="236">
        <v>-5.3333333333333339</v>
      </c>
      <c r="O30" s="237">
        <v>1</v>
      </c>
      <c r="P30" s="238"/>
      <c r="Q30" s="239">
        <v>2.1999999999999993</v>
      </c>
      <c r="R30" s="240">
        <v>2</v>
      </c>
      <c r="S30" s="241"/>
      <c r="T30" s="236">
        <v>-5.3</v>
      </c>
      <c r="U30" s="242">
        <v>1</v>
      </c>
      <c r="V30" s="238"/>
      <c r="W30" s="239">
        <v>-5.2727272727272725</v>
      </c>
      <c r="X30" s="240">
        <v>1</v>
      </c>
      <c r="Y30" s="241"/>
      <c r="Z30" s="236">
        <v>0.29090909090909101</v>
      </c>
      <c r="AA30" s="242">
        <v>2</v>
      </c>
      <c r="AB30" s="238"/>
      <c r="AC30" s="239">
        <v>8.3624999999999972</v>
      </c>
      <c r="AD30" s="240">
        <v>3</v>
      </c>
      <c r="AE30" s="241"/>
      <c r="AF30" s="236">
        <v>-0.84999999999999964</v>
      </c>
      <c r="AG30" s="242">
        <v>2</v>
      </c>
      <c r="AH30" s="238"/>
      <c r="AI30" s="239">
        <v>0</v>
      </c>
      <c r="AJ30" s="240">
        <v>2</v>
      </c>
      <c r="AK30" s="241"/>
      <c r="AL30" s="236">
        <v>-3.1</v>
      </c>
      <c r="AM30" s="242">
        <v>1</v>
      </c>
      <c r="AN30" s="238"/>
      <c r="AO30" s="239">
        <v>19.299999999999997</v>
      </c>
      <c r="AP30" s="240">
        <v>3</v>
      </c>
      <c r="AQ30" s="241">
        <v>5</v>
      </c>
      <c r="AR30" s="236">
        <v>0.29090909090909101</v>
      </c>
      <c r="AS30" s="242">
        <v>2</v>
      </c>
      <c r="AT30" s="238"/>
      <c r="AU30" s="239">
        <v>-1.42</v>
      </c>
      <c r="AV30" s="240">
        <v>2</v>
      </c>
      <c r="AW30" s="241"/>
      <c r="AX30" s="236">
        <v>5.57</v>
      </c>
      <c r="AY30" s="242">
        <v>2</v>
      </c>
      <c r="AZ30" s="238"/>
      <c r="BA30" s="239">
        <v>-7</v>
      </c>
      <c r="BB30" s="240">
        <v>0</v>
      </c>
      <c r="BC30" s="241"/>
      <c r="BD30" s="236">
        <v>-0.63030303030303081</v>
      </c>
      <c r="BE30" s="242">
        <v>2</v>
      </c>
      <c r="BF30" s="238"/>
      <c r="BG30" s="239"/>
      <c r="BH30" s="243"/>
      <c r="BI30" s="241"/>
      <c r="BJ30" s="236"/>
      <c r="BK30" s="242"/>
      <c r="BL30" s="238"/>
      <c r="BM30" s="239"/>
      <c r="BN30" s="243"/>
      <c r="BO30" s="241"/>
      <c r="BP30" s="236"/>
      <c r="BQ30" s="242"/>
      <c r="BR30" s="238"/>
      <c r="BS30" s="239"/>
      <c r="BT30" s="240"/>
      <c r="BU30" s="241"/>
      <c r="BV30" s="239">
        <f t="shared" si="4"/>
        <v>7.1079545454545414</v>
      </c>
      <c r="BW30" s="240">
        <f t="shared" si="5"/>
        <v>26</v>
      </c>
      <c r="BX30" s="241">
        <f t="shared" si="6"/>
        <v>5</v>
      </c>
      <c r="BY30" s="48"/>
      <c r="DX30" s="49"/>
      <c r="DY30" s="49"/>
      <c r="EF30" s="46"/>
      <c r="EG30" s="46"/>
    </row>
    <row r="31" spans="1:137" hidden="1">
      <c r="A31" s="246">
        <f t="shared" si="0"/>
        <v>29</v>
      </c>
      <c r="B31" s="246">
        <f t="shared" si="1"/>
        <v>34</v>
      </c>
      <c r="C31" s="246">
        <v>5</v>
      </c>
      <c r="D31" s="290" t="str">
        <f>INDEX(Table!E:E,MATCH(E31,Table!F:F,0))</f>
        <v>A</v>
      </c>
      <c r="E31" s="232" t="s">
        <v>282</v>
      </c>
      <c r="F31" s="244">
        <f t="shared" si="2"/>
        <v>-35.295038850038857</v>
      </c>
      <c r="G31" s="54">
        <f t="shared" si="3"/>
        <v>23</v>
      </c>
      <c r="H31" s="639">
        <v>-5.5</v>
      </c>
      <c r="I31" s="640">
        <v>1</v>
      </c>
      <c r="J31" s="234">
        <f t="shared" si="7"/>
        <v>0</v>
      </c>
      <c r="K31" s="235"/>
      <c r="L31" s="235">
        <f>INDEX(Table!M:M,MATCH(E31,Table!F:F,0))</f>
        <v>0</v>
      </c>
      <c r="M31" s="234">
        <f t="shared" si="8"/>
        <v>0</v>
      </c>
      <c r="N31" s="236">
        <v>3.0085470085470103</v>
      </c>
      <c r="O31" s="237">
        <v>3</v>
      </c>
      <c r="P31" s="238"/>
      <c r="Q31" s="239">
        <v>1.9090909090909101</v>
      </c>
      <c r="R31" s="240">
        <v>2</v>
      </c>
      <c r="S31" s="241"/>
      <c r="T31" s="236">
        <v>-5.7</v>
      </c>
      <c r="U31" s="242">
        <v>1</v>
      </c>
      <c r="V31" s="238"/>
      <c r="W31" s="239">
        <v>-7</v>
      </c>
      <c r="X31" s="240">
        <v>0</v>
      </c>
      <c r="Y31" s="241"/>
      <c r="Z31" s="236">
        <v>-5.25</v>
      </c>
      <c r="AA31" s="242">
        <v>1</v>
      </c>
      <c r="AB31" s="238"/>
      <c r="AC31" s="239">
        <v>-0.28571428571428648</v>
      </c>
      <c r="AD31" s="240">
        <v>2</v>
      </c>
      <c r="AE31" s="241"/>
      <c r="AF31" s="236">
        <v>-3.2857142857142865</v>
      </c>
      <c r="AG31" s="242">
        <v>2</v>
      </c>
      <c r="AH31" s="238"/>
      <c r="AI31" s="239">
        <v>-5.4285714285714288</v>
      </c>
      <c r="AJ31" s="240">
        <v>1</v>
      </c>
      <c r="AK31" s="241"/>
      <c r="AL31" s="236">
        <v>-7</v>
      </c>
      <c r="AM31" s="242">
        <v>0</v>
      </c>
      <c r="AN31" s="238"/>
      <c r="AO31" s="239">
        <v>9.4545454545454533</v>
      </c>
      <c r="AP31" s="240">
        <v>3</v>
      </c>
      <c r="AQ31" s="241"/>
      <c r="AR31" s="236">
        <v>-2.375</v>
      </c>
      <c r="AS31" s="242">
        <v>2</v>
      </c>
      <c r="AT31" s="238"/>
      <c r="AU31" s="239">
        <v>-0.82222222222222285</v>
      </c>
      <c r="AV31" s="240">
        <v>2</v>
      </c>
      <c r="AW31" s="241"/>
      <c r="AX31" s="236">
        <v>-1.42</v>
      </c>
      <c r="AY31" s="242">
        <v>2</v>
      </c>
      <c r="AZ31" s="238"/>
      <c r="BA31" s="239">
        <v>-5.6</v>
      </c>
      <c r="BB31" s="240">
        <v>1</v>
      </c>
      <c r="BC31" s="241"/>
      <c r="BD31" s="236">
        <v>-5.5</v>
      </c>
      <c r="BE31" s="242">
        <v>1</v>
      </c>
      <c r="BF31" s="238"/>
      <c r="BG31" s="239"/>
      <c r="BH31" s="243"/>
      <c r="BI31" s="241"/>
      <c r="BJ31" s="236"/>
      <c r="BK31" s="242"/>
      <c r="BL31" s="238"/>
      <c r="BM31" s="239"/>
      <c r="BN31" s="243"/>
      <c r="BO31" s="241"/>
      <c r="BP31" s="236"/>
      <c r="BQ31" s="242"/>
      <c r="BR31" s="238"/>
      <c r="BS31" s="239"/>
      <c r="BT31" s="240"/>
      <c r="BU31" s="241"/>
      <c r="BV31" s="239">
        <f t="shared" si="4"/>
        <v>-35.29503885003885</v>
      </c>
      <c r="BW31" s="240">
        <f t="shared" si="5"/>
        <v>23</v>
      </c>
      <c r="BX31" s="241">
        <f t="shared" si="6"/>
        <v>0</v>
      </c>
      <c r="BY31" s="48"/>
      <c r="DX31" s="49"/>
      <c r="DY31" s="49"/>
      <c r="EF31" s="46"/>
      <c r="EG31" s="46"/>
    </row>
    <row r="32" spans="1:137" ht="13.35" hidden="1" customHeight="1">
      <c r="A32" s="246">
        <f t="shared" si="0"/>
        <v>33</v>
      </c>
      <c r="B32" s="246">
        <f t="shared" si="1"/>
        <v>21</v>
      </c>
      <c r="C32" s="246">
        <v>4</v>
      </c>
      <c r="D32" s="290" t="str">
        <f>INDEX(Table!E:E,MATCH(E32,Table!F:F,0))</f>
        <v>A</v>
      </c>
      <c r="E32" s="232" t="s">
        <v>283</v>
      </c>
      <c r="F32" s="244">
        <f t="shared" si="2"/>
        <v>-44.275576923076926</v>
      </c>
      <c r="G32" s="54">
        <f t="shared" si="3"/>
        <v>15</v>
      </c>
      <c r="H32" s="639">
        <v>-4.625</v>
      </c>
      <c r="I32" s="640">
        <v>1</v>
      </c>
      <c r="J32" s="234">
        <f t="shared" si="7"/>
        <v>5</v>
      </c>
      <c r="K32" s="235"/>
      <c r="L32" s="235">
        <f>INDEX(Table!M:M,MATCH(E32,Table!F:F,0))</f>
        <v>0</v>
      </c>
      <c r="M32" s="234">
        <f t="shared" si="8"/>
        <v>5</v>
      </c>
      <c r="N32" s="236">
        <v>3.9025000000000016</v>
      </c>
      <c r="O32" s="237">
        <v>2</v>
      </c>
      <c r="P32" s="238">
        <v>5</v>
      </c>
      <c r="Q32" s="239">
        <v>5.1750000000000007</v>
      </c>
      <c r="R32" s="240">
        <v>2</v>
      </c>
      <c r="S32" s="241"/>
      <c r="T32" s="236">
        <v>3.5200000000000014</v>
      </c>
      <c r="U32" s="242">
        <v>2</v>
      </c>
      <c r="V32" s="238"/>
      <c r="W32" s="239">
        <v>-4.4000000000000004</v>
      </c>
      <c r="X32" s="240">
        <v>1</v>
      </c>
      <c r="Y32" s="241"/>
      <c r="Z32" s="236">
        <v>-5.15</v>
      </c>
      <c r="AA32" s="242">
        <v>1</v>
      </c>
      <c r="AB32" s="238"/>
      <c r="AC32" s="239">
        <v>-7</v>
      </c>
      <c r="AD32" s="240">
        <v>0</v>
      </c>
      <c r="AE32" s="241"/>
      <c r="AF32" s="236">
        <v>-4.9000000000000004</v>
      </c>
      <c r="AG32" s="242">
        <v>1</v>
      </c>
      <c r="AH32" s="238"/>
      <c r="AI32" s="239">
        <v>-4.55</v>
      </c>
      <c r="AJ32" s="240">
        <v>1</v>
      </c>
      <c r="AK32" s="241"/>
      <c r="AL32" s="236">
        <v>-7</v>
      </c>
      <c r="AM32" s="242">
        <v>0</v>
      </c>
      <c r="AN32" s="238"/>
      <c r="AO32" s="239">
        <v>-4.125</v>
      </c>
      <c r="AP32" s="240">
        <v>1</v>
      </c>
      <c r="AQ32" s="241"/>
      <c r="AR32" s="236">
        <v>-7</v>
      </c>
      <c r="AS32" s="242">
        <v>0</v>
      </c>
      <c r="AT32" s="238"/>
      <c r="AU32" s="239">
        <v>3.8269230769230766</v>
      </c>
      <c r="AV32" s="240">
        <v>2</v>
      </c>
      <c r="AW32" s="241"/>
      <c r="AX32" s="236">
        <v>-7</v>
      </c>
      <c r="AY32" s="242">
        <v>0</v>
      </c>
      <c r="AZ32" s="238"/>
      <c r="BA32" s="239">
        <v>-4.95</v>
      </c>
      <c r="BB32" s="240">
        <v>1</v>
      </c>
      <c r="BC32" s="241"/>
      <c r="BD32" s="236">
        <v>-4.625</v>
      </c>
      <c r="BE32" s="242">
        <v>1</v>
      </c>
      <c r="BF32" s="238"/>
      <c r="BG32" s="239"/>
      <c r="BH32" s="243"/>
      <c r="BI32" s="241"/>
      <c r="BJ32" s="236"/>
      <c r="BK32" s="242"/>
      <c r="BL32" s="238"/>
      <c r="BM32" s="239"/>
      <c r="BN32" s="243"/>
      <c r="BO32" s="241"/>
      <c r="BP32" s="236"/>
      <c r="BQ32" s="242"/>
      <c r="BR32" s="238"/>
      <c r="BS32" s="239"/>
      <c r="BT32" s="240"/>
      <c r="BU32" s="241"/>
      <c r="BV32" s="239">
        <f t="shared" si="4"/>
        <v>-44.275576923076912</v>
      </c>
      <c r="BW32" s="240">
        <f t="shared" si="5"/>
        <v>15</v>
      </c>
      <c r="BX32" s="241">
        <f t="shared" si="6"/>
        <v>5</v>
      </c>
      <c r="BY32" s="48"/>
      <c r="DX32" s="49"/>
      <c r="DY32" s="49"/>
      <c r="EF32" s="46"/>
      <c r="EG32" s="46"/>
    </row>
    <row r="33" spans="1:137" hidden="1">
      <c r="A33" s="246">
        <f t="shared" si="0"/>
        <v>15</v>
      </c>
      <c r="B33" s="246">
        <f t="shared" si="1"/>
        <v>22</v>
      </c>
      <c r="C33" s="246">
        <v>1</v>
      </c>
      <c r="D33" s="290" t="str">
        <f>INDEX(Table!E:E,MATCH(E33,Table!F:F,0))</f>
        <v>A</v>
      </c>
      <c r="E33" s="232" t="s">
        <v>278</v>
      </c>
      <c r="F33" s="244">
        <f t="shared" si="2"/>
        <v>-11.575036075036074</v>
      </c>
      <c r="G33" s="54">
        <f t="shared" si="3"/>
        <v>19</v>
      </c>
      <c r="H33" s="639">
        <v>-4.7</v>
      </c>
      <c r="I33" s="640">
        <v>1</v>
      </c>
      <c r="J33" s="234">
        <f t="shared" si="7"/>
        <v>20</v>
      </c>
      <c r="K33" s="235"/>
      <c r="L33" s="235">
        <f>INDEX(Table!M:M,MATCH(E33,Table!F:F,0))</f>
        <v>5.25</v>
      </c>
      <c r="M33" s="234">
        <f t="shared" si="8"/>
        <v>25.25</v>
      </c>
      <c r="N33" s="236">
        <v>7.2777777777777768</v>
      </c>
      <c r="O33" s="237">
        <v>3</v>
      </c>
      <c r="P33" s="238">
        <v>10</v>
      </c>
      <c r="Q33" s="239">
        <v>-0.51948051948051965</v>
      </c>
      <c r="R33" s="240">
        <v>2</v>
      </c>
      <c r="S33" s="241"/>
      <c r="T33" s="236">
        <v>14</v>
      </c>
      <c r="U33" s="242">
        <v>2</v>
      </c>
      <c r="V33" s="238">
        <v>5</v>
      </c>
      <c r="W33" s="239">
        <v>23.733333333333334</v>
      </c>
      <c r="X33" s="240">
        <v>3</v>
      </c>
      <c r="Y33" s="241">
        <v>5</v>
      </c>
      <c r="Z33" s="236">
        <v>-5.45</v>
      </c>
      <c r="AA33" s="242">
        <v>1</v>
      </c>
      <c r="AB33" s="238"/>
      <c r="AC33" s="239">
        <v>-5.666666666666667</v>
      </c>
      <c r="AD33" s="240">
        <v>1</v>
      </c>
      <c r="AE33" s="241"/>
      <c r="AF33" s="236">
        <v>-7</v>
      </c>
      <c r="AG33" s="242">
        <v>0</v>
      </c>
      <c r="AH33" s="238"/>
      <c r="AI33" s="239">
        <v>-2.25</v>
      </c>
      <c r="AJ33" s="240">
        <v>2</v>
      </c>
      <c r="AK33" s="241"/>
      <c r="AL33" s="236">
        <v>-3.1</v>
      </c>
      <c r="AM33" s="242">
        <v>1</v>
      </c>
      <c r="AN33" s="238"/>
      <c r="AO33" s="239">
        <v>-5.5</v>
      </c>
      <c r="AP33" s="240">
        <v>1</v>
      </c>
      <c r="AQ33" s="241"/>
      <c r="AR33" s="236">
        <v>-7</v>
      </c>
      <c r="AS33" s="242">
        <v>0</v>
      </c>
      <c r="AT33" s="238"/>
      <c r="AU33" s="239">
        <v>-3.4</v>
      </c>
      <c r="AV33" s="240">
        <v>1</v>
      </c>
      <c r="AW33" s="241"/>
      <c r="AX33" s="236">
        <v>-7</v>
      </c>
      <c r="AY33" s="242">
        <v>0</v>
      </c>
      <c r="AZ33" s="238"/>
      <c r="BA33" s="239">
        <v>-5</v>
      </c>
      <c r="BB33" s="240">
        <v>1</v>
      </c>
      <c r="BC33" s="241"/>
      <c r="BD33" s="236">
        <v>-4.7</v>
      </c>
      <c r="BE33" s="242">
        <v>1</v>
      </c>
      <c r="BF33" s="238"/>
      <c r="BG33" s="239"/>
      <c r="BH33" s="243"/>
      <c r="BI33" s="241"/>
      <c r="BJ33" s="236"/>
      <c r="BK33" s="242"/>
      <c r="BL33" s="238"/>
      <c r="BM33" s="239"/>
      <c r="BN33" s="243"/>
      <c r="BO33" s="241"/>
      <c r="BP33" s="236"/>
      <c r="BQ33" s="242"/>
      <c r="BR33" s="238"/>
      <c r="BS33" s="239"/>
      <c r="BT33" s="240"/>
      <c r="BU33" s="241"/>
      <c r="BV33" s="239">
        <f t="shared" si="4"/>
        <v>-11.575036075036072</v>
      </c>
      <c r="BW33" s="240">
        <f t="shared" si="5"/>
        <v>19</v>
      </c>
      <c r="BX33" s="241">
        <f t="shared" si="6"/>
        <v>20</v>
      </c>
      <c r="BY33" s="48"/>
      <c r="DX33" s="49"/>
      <c r="DY33" s="49"/>
      <c r="EF33" s="46"/>
      <c r="EG33" s="46"/>
    </row>
    <row r="34" spans="1:137" hidden="1">
      <c r="A34" s="246">
        <f t="shared" ref="A34:A51" si="9">_xlfn.RANK.EQ(F34,totalscores,0)</f>
        <v>25</v>
      </c>
      <c r="B34" s="246">
        <f t="shared" si="1"/>
        <v>5</v>
      </c>
      <c r="C34" s="246">
        <v>32</v>
      </c>
      <c r="D34" s="290" t="str">
        <f>INDEX(Table!E:E,MATCH(E34,Table!F:F,0))</f>
        <v>A</v>
      </c>
      <c r="E34" s="232" t="s">
        <v>277</v>
      </c>
      <c r="F34" s="244">
        <f t="shared" ref="F34:F51" si="10">+N34+Q34+T34+W34+Z34+AC34+AF34+AI34+AL34+AO34+AR34+AU34+AX34+BA34+BD34+BG34+BJ34+BM34+BP34+BS34</f>
        <v>-28.426616161616163</v>
      </c>
      <c r="G34" s="54">
        <f t="shared" ref="G34:G51" si="11">+O34+R34+U34+X34+AA34+AD34+AG34+AJ34+AM34+AP34+AS34+AV34+AY34+BB34+BE34+BH34+BK34+BN34+BQ34+BT34</f>
        <v>23</v>
      </c>
      <c r="H34" s="639">
        <v>10.683333333333334</v>
      </c>
      <c r="I34" s="640">
        <v>3</v>
      </c>
      <c r="J34" s="234">
        <f t="shared" si="7"/>
        <v>0</v>
      </c>
      <c r="K34" s="235"/>
      <c r="L34" s="235">
        <f>INDEX(Table!M:M,MATCH(E34,Table!F:F,0))</f>
        <v>0</v>
      </c>
      <c r="M34" s="234">
        <f t="shared" si="8"/>
        <v>0</v>
      </c>
      <c r="N34" s="236">
        <v>-5.7</v>
      </c>
      <c r="O34" s="237">
        <v>1</v>
      </c>
      <c r="P34" s="238"/>
      <c r="Q34" s="239">
        <v>-4.9000000000000004</v>
      </c>
      <c r="R34" s="240">
        <v>1</v>
      </c>
      <c r="S34" s="241"/>
      <c r="T34" s="236">
        <v>-0.58000000000000007</v>
      </c>
      <c r="U34" s="242">
        <v>2</v>
      </c>
      <c r="V34" s="238"/>
      <c r="W34" s="239">
        <v>-5.2727272727272725</v>
      </c>
      <c r="X34" s="240">
        <v>1</v>
      </c>
      <c r="Y34" s="241"/>
      <c r="Z34" s="236">
        <v>-1.1150000000000002</v>
      </c>
      <c r="AA34" s="242">
        <v>2</v>
      </c>
      <c r="AB34" s="238"/>
      <c r="AC34" s="239">
        <v>-7</v>
      </c>
      <c r="AD34" s="240">
        <v>0</v>
      </c>
      <c r="AE34" s="241"/>
      <c r="AF34" s="236">
        <v>-1.9800000000000004</v>
      </c>
      <c r="AG34" s="242">
        <v>2</v>
      </c>
      <c r="AH34" s="238"/>
      <c r="AI34" s="239">
        <v>-0.63999999999999968</v>
      </c>
      <c r="AJ34" s="240">
        <v>2</v>
      </c>
      <c r="AK34" s="241"/>
      <c r="AL34" s="236">
        <v>3.2444444444444436</v>
      </c>
      <c r="AM34" s="242">
        <v>2</v>
      </c>
      <c r="AN34" s="238"/>
      <c r="AO34" s="239">
        <v>-6.666666666666643E-2</v>
      </c>
      <c r="AP34" s="240">
        <v>2</v>
      </c>
      <c r="AQ34" s="241"/>
      <c r="AR34" s="236">
        <v>-4.4000000000000004</v>
      </c>
      <c r="AS34" s="242">
        <v>1</v>
      </c>
      <c r="AT34" s="238"/>
      <c r="AU34" s="239">
        <v>-6.666666666666643E-2</v>
      </c>
      <c r="AV34" s="240">
        <v>2</v>
      </c>
      <c r="AW34" s="241"/>
      <c r="AX34" s="236">
        <v>-5.4666666666666668</v>
      </c>
      <c r="AY34" s="242">
        <v>1</v>
      </c>
      <c r="AZ34" s="238"/>
      <c r="BA34" s="239">
        <v>-5.1666666666666661</v>
      </c>
      <c r="BB34" s="240">
        <v>1</v>
      </c>
      <c r="BC34" s="241"/>
      <c r="BD34" s="236">
        <v>10.683333333333334</v>
      </c>
      <c r="BE34" s="242">
        <v>3</v>
      </c>
      <c r="BF34" s="238"/>
      <c r="BG34" s="239"/>
      <c r="BH34" s="243"/>
      <c r="BI34" s="241"/>
      <c r="BJ34" s="236"/>
      <c r="BK34" s="242"/>
      <c r="BL34" s="238"/>
      <c r="BM34" s="239"/>
      <c r="BN34" s="243"/>
      <c r="BO34" s="241"/>
      <c r="BP34" s="236"/>
      <c r="BQ34" s="242"/>
      <c r="BR34" s="238"/>
      <c r="BS34" s="239"/>
      <c r="BT34" s="240"/>
      <c r="BU34" s="241"/>
      <c r="BV34" s="239">
        <f t="shared" ref="BV34:BV51" si="12">BS34+BP34+BM34+BJ34+BG34+BD34+BA34+AX34+AU34+AR34+AO34+AL34+AI34+AF34+AC34+Z34+W34+T34+Q34+N34</f>
        <v>-28.426616161616156</v>
      </c>
      <c r="BW34" s="240">
        <f t="shared" ref="BW34:BW51" si="13">BT34+BQ34+BN34+BK34+BH34+BE34+BB34+AY34+AV34+AS34+AP34+AM34+AJ34+AG34+AD34+AA34+X34+U34+R34+O34</f>
        <v>23</v>
      </c>
      <c r="BX34" s="241">
        <f t="shared" ref="BX34:BX51" si="14">BU34+BR34+BO34+BL34+BI34+BF34+BC34+AZ34+AW34+AT34+AQ34+AN34+AK34+AH34+AE34+AB34+Y34+V34+S34+P34</f>
        <v>0</v>
      </c>
      <c r="BY34" s="48"/>
      <c r="DX34" s="49"/>
      <c r="DY34" s="49"/>
      <c r="EF34" s="46"/>
      <c r="EG34" s="46"/>
    </row>
    <row r="35" spans="1:137">
      <c r="A35" s="246">
        <f t="shared" si="9"/>
        <v>20</v>
      </c>
      <c r="B35" s="246">
        <f t="shared" si="1"/>
        <v>4</v>
      </c>
      <c r="C35" s="246">
        <v>19</v>
      </c>
      <c r="D35" s="290" t="str">
        <f>INDEX(Table!E:E,MATCH(E35,Table!F:F,0))</f>
        <v>C</v>
      </c>
      <c r="E35" s="232" t="s">
        <v>365</v>
      </c>
      <c r="F35" s="244">
        <f t="shared" si="10"/>
        <v>-20.856522727272729</v>
      </c>
      <c r="G35" s="54">
        <f t="shared" si="11"/>
        <v>21</v>
      </c>
      <c r="H35" s="639">
        <v>12.139999999999997</v>
      </c>
      <c r="I35" s="640">
        <v>3</v>
      </c>
      <c r="J35" s="234">
        <f t="shared" si="7"/>
        <v>15</v>
      </c>
      <c r="K35" s="235"/>
      <c r="L35" s="235">
        <f>INDEX(Table!M:M,MATCH(E35,Table!F:F,0))</f>
        <v>0</v>
      </c>
      <c r="M35" s="234">
        <f t="shared" si="8"/>
        <v>15</v>
      </c>
      <c r="N35" s="236">
        <v>-2.6333333333333329</v>
      </c>
      <c r="O35" s="237">
        <v>2</v>
      </c>
      <c r="P35" s="238"/>
      <c r="Q35" s="239">
        <v>-5.6363636363636367</v>
      </c>
      <c r="R35" s="240">
        <v>1</v>
      </c>
      <c r="S35" s="241"/>
      <c r="T35" s="236">
        <v>9.370750000000001</v>
      </c>
      <c r="U35" s="242">
        <v>3</v>
      </c>
      <c r="V35" s="238">
        <v>5</v>
      </c>
      <c r="W35" s="239">
        <v>-2.25</v>
      </c>
      <c r="X35" s="240">
        <v>1</v>
      </c>
      <c r="Y35" s="241"/>
      <c r="Z35" s="236">
        <v>-7</v>
      </c>
      <c r="AA35" s="242">
        <v>0</v>
      </c>
      <c r="AB35" s="238"/>
      <c r="AC35" s="239">
        <v>0.23499999999999943</v>
      </c>
      <c r="AD35" s="240">
        <v>2</v>
      </c>
      <c r="AE35" s="241"/>
      <c r="AF35" s="236">
        <v>-0.84999999999999964</v>
      </c>
      <c r="AG35" s="242">
        <v>2</v>
      </c>
      <c r="AH35" s="238"/>
      <c r="AI35" s="239">
        <v>-5.0909090909090908</v>
      </c>
      <c r="AJ35" s="240">
        <v>1</v>
      </c>
      <c r="AK35" s="241"/>
      <c r="AL35" s="236">
        <v>6.6666666666666661</v>
      </c>
      <c r="AM35" s="242">
        <v>3</v>
      </c>
      <c r="AN35" s="238">
        <v>5</v>
      </c>
      <c r="AO35" s="239">
        <v>-5.1666666666666661</v>
      </c>
      <c r="AP35" s="240">
        <v>1</v>
      </c>
      <c r="AQ35" s="241"/>
      <c r="AR35" s="236">
        <v>-7</v>
      </c>
      <c r="AS35" s="242">
        <v>0</v>
      </c>
      <c r="AT35" s="238"/>
      <c r="AU35" s="239">
        <v>0.35833333333333339</v>
      </c>
      <c r="AV35" s="240">
        <v>2</v>
      </c>
      <c r="AW35" s="241"/>
      <c r="AX35" s="236">
        <v>-7</v>
      </c>
      <c r="AY35" s="242">
        <v>0</v>
      </c>
      <c r="AZ35" s="238"/>
      <c r="BA35" s="239">
        <v>-7</v>
      </c>
      <c r="BB35" s="240">
        <v>0</v>
      </c>
      <c r="BC35" s="241"/>
      <c r="BD35" s="236">
        <v>12.139999999999997</v>
      </c>
      <c r="BE35" s="242">
        <v>3</v>
      </c>
      <c r="BF35" s="238">
        <v>5</v>
      </c>
      <c r="BG35" s="239"/>
      <c r="BH35" s="243"/>
      <c r="BI35" s="241"/>
      <c r="BJ35" s="236"/>
      <c r="BK35" s="242"/>
      <c r="BL35" s="238"/>
      <c r="BM35" s="239"/>
      <c r="BN35" s="243"/>
      <c r="BO35" s="241"/>
      <c r="BP35" s="236"/>
      <c r="BQ35" s="242"/>
      <c r="BR35" s="238"/>
      <c r="BS35" s="239"/>
      <c r="BT35" s="240"/>
      <c r="BU35" s="241"/>
      <c r="BV35" s="239">
        <f t="shared" si="12"/>
        <v>-20.856522727272729</v>
      </c>
      <c r="BW35" s="240">
        <f t="shared" si="13"/>
        <v>21</v>
      </c>
      <c r="BX35" s="241">
        <f t="shared" si="14"/>
        <v>15</v>
      </c>
      <c r="BY35" s="48"/>
      <c r="DX35" s="49"/>
      <c r="DY35" s="49"/>
      <c r="EF35" s="46"/>
      <c r="EG35" s="46"/>
    </row>
    <row r="36" spans="1:137" hidden="1">
      <c r="A36" s="246">
        <f t="shared" si="9"/>
        <v>38</v>
      </c>
      <c r="B36" s="246">
        <f t="shared" si="1"/>
        <v>7</v>
      </c>
      <c r="C36" s="246">
        <v>34</v>
      </c>
      <c r="D36" s="290" t="str">
        <f>INDEX(Table!E:E,MATCH(E36,Table!F:F,0))</f>
        <v>A</v>
      </c>
      <c r="E36" s="232" t="s">
        <v>287</v>
      </c>
      <c r="F36" s="244">
        <f t="shared" si="10"/>
        <v>-52.295546536796536</v>
      </c>
      <c r="G36" s="54">
        <f t="shared" si="11"/>
        <v>16</v>
      </c>
      <c r="H36" s="639">
        <v>2.125</v>
      </c>
      <c r="I36" s="640">
        <v>2</v>
      </c>
      <c r="J36" s="234">
        <f t="shared" si="7"/>
        <v>0</v>
      </c>
      <c r="K36" s="235"/>
      <c r="L36" s="235">
        <f>INDEX(Table!M:M,MATCH(E36,Table!F:F,0))</f>
        <v>0</v>
      </c>
      <c r="M36" s="234">
        <f t="shared" si="8"/>
        <v>0</v>
      </c>
      <c r="N36" s="236">
        <v>-7</v>
      </c>
      <c r="O36" s="237">
        <v>0</v>
      </c>
      <c r="P36" s="238"/>
      <c r="Q36" s="239">
        <v>-4.95</v>
      </c>
      <c r="R36" s="240">
        <v>1</v>
      </c>
      <c r="S36" s="241"/>
      <c r="T36" s="236">
        <v>-5.2</v>
      </c>
      <c r="U36" s="242">
        <v>1</v>
      </c>
      <c r="V36" s="238"/>
      <c r="W36" s="239">
        <v>0.7272727272727284</v>
      </c>
      <c r="X36" s="240">
        <v>2</v>
      </c>
      <c r="Y36" s="241"/>
      <c r="Z36" s="236">
        <v>-1.4428571428571431</v>
      </c>
      <c r="AA36" s="242">
        <v>2</v>
      </c>
      <c r="AB36" s="238"/>
      <c r="AC36" s="239">
        <v>-7</v>
      </c>
      <c r="AD36" s="240">
        <v>0</v>
      </c>
      <c r="AE36" s="241"/>
      <c r="AF36" s="236">
        <v>-5.25</v>
      </c>
      <c r="AG36" s="242">
        <v>1</v>
      </c>
      <c r="AH36" s="238"/>
      <c r="AI36" s="239">
        <v>0.1454545454545455</v>
      </c>
      <c r="AJ36" s="240">
        <v>2</v>
      </c>
      <c r="AK36" s="241"/>
      <c r="AL36" s="236">
        <v>-7</v>
      </c>
      <c r="AM36" s="242">
        <v>0</v>
      </c>
      <c r="AN36" s="238"/>
      <c r="AO36" s="239">
        <v>2.65625</v>
      </c>
      <c r="AP36" s="240">
        <v>2</v>
      </c>
      <c r="AQ36" s="241"/>
      <c r="AR36" s="236">
        <v>-0.90666666666666718</v>
      </c>
      <c r="AS36" s="242">
        <v>2</v>
      </c>
      <c r="AT36" s="238"/>
      <c r="AU36" s="239">
        <v>-5.2</v>
      </c>
      <c r="AV36" s="240">
        <v>1</v>
      </c>
      <c r="AW36" s="241"/>
      <c r="AX36" s="236">
        <v>-7</v>
      </c>
      <c r="AY36" s="242">
        <v>0</v>
      </c>
      <c r="AZ36" s="238"/>
      <c r="BA36" s="239">
        <v>-7</v>
      </c>
      <c r="BB36" s="240">
        <v>0</v>
      </c>
      <c r="BC36" s="241"/>
      <c r="BD36" s="236">
        <v>2.125</v>
      </c>
      <c r="BE36" s="242">
        <v>2</v>
      </c>
      <c r="BF36" s="238"/>
      <c r="BG36" s="239"/>
      <c r="BH36" s="243"/>
      <c r="BI36" s="241"/>
      <c r="BJ36" s="236"/>
      <c r="BK36" s="242"/>
      <c r="BL36" s="238"/>
      <c r="BM36" s="239"/>
      <c r="BN36" s="243"/>
      <c r="BO36" s="241"/>
      <c r="BP36" s="236"/>
      <c r="BQ36" s="242"/>
      <c r="BR36" s="238"/>
      <c r="BS36" s="239"/>
      <c r="BT36" s="240"/>
      <c r="BU36" s="241"/>
      <c r="BV36" s="239">
        <f t="shared" si="12"/>
        <v>-52.295546536796543</v>
      </c>
      <c r="BW36" s="240">
        <f t="shared" si="13"/>
        <v>16</v>
      </c>
      <c r="BX36" s="241">
        <f t="shared" si="14"/>
        <v>0</v>
      </c>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6"/>
      <c r="DY36" s="46"/>
      <c r="DZ36" s="46"/>
      <c r="EA36" s="46"/>
      <c r="EB36" s="46"/>
      <c r="EC36" s="46"/>
      <c r="ED36" s="46"/>
      <c r="EE36" s="46"/>
      <c r="EF36" s="46"/>
      <c r="EG36" s="46"/>
    </row>
    <row r="37" spans="1:137" hidden="1">
      <c r="A37" s="246">
        <f t="shared" si="9"/>
        <v>32</v>
      </c>
      <c r="B37" s="246">
        <f t="shared" si="1"/>
        <v>33</v>
      </c>
      <c r="C37" s="246">
        <v>22</v>
      </c>
      <c r="D37" s="290" t="str">
        <f>INDEX(Table!E:E,MATCH(E37,Table!F:F,0))</f>
        <v>A</v>
      </c>
      <c r="E37" s="232" t="s">
        <v>301</v>
      </c>
      <c r="F37" s="244">
        <f t="shared" si="10"/>
        <v>-41.493300865800869</v>
      </c>
      <c r="G37" s="54">
        <f t="shared" si="11"/>
        <v>21</v>
      </c>
      <c r="H37" s="639">
        <v>-5.4666666666666668</v>
      </c>
      <c r="I37" s="640">
        <v>1</v>
      </c>
      <c r="J37" s="234">
        <f t="shared" si="7"/>
        <v>0</v>
      </c>
      <c r="K37" s="235"/>
      <c r="L37" s="235">
        <f>INDEX(Table!M:M,MATCH(E37,Table!F:F,0))</f>
        <v>0</v>
      </c>
      <c r="M37" s="234">
        <f t="shared" si="8"/>
        <v>0</v>
      </c>
      <c r="N37" s="236">
        <v>-5.3</v>
      </c>
      <c r="O37" s="237">
        <v>1</v>
      </c>
      <c r="P37" s="238"/>
      <c r="Q37" s="239">
        <v>0.72727272727272751</v>
      </c>
      <c r="R37" s="240">
        <v>2</v>
      </c>
      <c r="S37" s="241"/>
      <c r="T37" s="236">
        <v>-5.7</v>
      </c>
      <c r="U37" s="242">
        <v>1</v>
      </c>
      <c r="V37" s="238"/>
      <c r="W37" s="239">
        <v>3.9000000000000004</v>
      </c>
      <c r="X37" s="240">
        <v>2</v>
      </c>
      <c r="Y37" s="241"/>
      <c r="Z37" s="236">
        <v>-0.47750000000000004</v>
      </c>
      <c r="AA37" s="242">
        <v>2</v>
      </c>
      <c r="AB37" s="238"/>
      <c r="AC37" s="239">
        <v>-7</v>
      </c>
      <c r="AD37" s="240">
        <v>0</v>
      </c>
      <c r="AE37" s="241"/>
      <c r="AF37" s="236">
        <v>-0.71428571428571352</v>
      </c>
      <c r="AG37" s="242">
        <v>2</v>
      </c>
      <c r="AH37" s="238"/>
      <c r="AI37" s="239">
        <v>-5.7</v>
      </c>
      <c r="AJ37" s="240">
        <v>1</v>
      </c>
      <c r="AK37" s="241"/>
      <c r="AL37" s="236">
        <v>-5.0909090909090908</v>
      </c>
      <c r="AM37" s="242">
        <v>1</v>
      </c>
      <c r="AN37" s="238"/>
      <c r="AO37" s="239">
        <v>5.963636363636363</v>
      </c>
      <c r="AP37" s="240">
        <v>3</v>
      </c>
      <c r="AQ37" s="241"/>
      <c r="AR37" s="236">
        <v>-5.15</v>
      </c>
      <c r="AS37" s="242">
        <v>1</v>
      </c>
      <c r="AT37" s="238"/>
      <c r="AU37" s="239">
        <v>-6.666666666666643E-2</v>
      </c>
      <c r="AV37" s="240">
        <v>2</v>
      </c>
      <c r="AW37" s="241"/>
      <c r="AX37" s="236">
        <v>-5.8181818181818183</v>
      </c>
      <c r="AY37" s="242">
        <v>1</v>
      </c>
      <c r="AZ37" s="238"/>
      <c r="BA37" s="239">
        <v>-5.6</v>
      </c>
      <c r="BB37" s="240">
        <v>1</v>
      </c>
      <c r="BC37" s="241"/>
      <c r="BD37" s="236">
        <v>-5.4666666666666668</v>
      </c>
      <c r="BE37" s="242">
        <v>1</v>
      </c>
      <c r="BF37" s="238"/>
      <c r="BG37" s="239"/>
      <c r="BH37" s="243"/>
      <c r="BI37" s="241"/>
      <c r="BJ37" s="236"/>
      <c r="BK37" s="242"/>
      <c r="BL37" s="238"/>
      <c r="BM37" s="239"/>
      <c r="BN37" s="243"/>
      <c r="BO37" s="241"/>
      <c r="BP37" s="236"/>
      <c r="BQ37" s="242"/>
      <c r="BR37" s="238"/>
      <c r="BS37" s="239"/>
      <c r="BT37" s="240"/>
      <c r="BU37" s="241"/>
      <c r="BV37" s="239">
        <f t="shared" si="12"/>
        <v>-41.493300865800869</v>
      </c>
      <c r="BW37" s="240">
        <f t="shared" si="13"/>
        <v>21</v>
      </c>
      <c r="BX37" s="241">
        <f t="shared" si="14"/>
        <v>0</v>
      </c>
      <c r="BY37" s="48"/>
      <c r="DX37" s="49"/>
      <c r="DY37" s="49"/>
      <c r="EF37" s="46"/>
      <c r="EG37" s="46"/>
    </row>
    <row r="38" spans="1:137" hidden="1">
      <c r="A38" s="246">
        <f t="shared" si="9"/>
        <v>41</v>
      </c>
      <c r="B38" s="246">
        <f t="shared" si="1"/>
        <v>35</v>
      </c>
      <c r="C38" s="246">
        <v>30</v>
      </c>
      <c r="D38" s="290" t="str">
        <f>INDEX(Table!E:E,MATCH(E38,Table!F:F,0))</f>
        <v>C</v>
      </c>
      <c r="E38" s="232" t="s">
        <v>364</v>
      </c>
      <c r="F38" s="244">
        <f t="shared" si="10"/>
        <v>-55.288611111111109</v>
      </c>
      <c r="G38" s="54">
        <f t="shared" si="11"/>
        <v>8</v>
      </c>
      <c r="H38" s="639">
        <v>-7</v>
      </c>
      <c r="I38" s="640">
        <v>0</v>
      </c>
      <c r="J38" s="234">
        <f t="shared" si="7"/>
        <v>5</v>
      </c>
      <c r="K38" s="235"/>
      <c r="L38" s="235">
        <f>INDEX(Table!M:M,MATCH(E38,Table!F:F,0))</f>
        <v>0</v>
      </c>
      <c r="M38" s="234">
        <f t="shared" si="8"/>
        <v>5</v>
      </c>
      <c r="N38" s="236">
        <v>-5.5555555555555554</v>
      </c>
      <c r="O38" s="237">
        <v>1</v>
      </c>
      <c r="P38" s="238"/>
      <c r="Q38" s="239">
        <v>-7</v>
      </c>
      <c r="R38" s="240">
        <v>0</v>
      </c>
      <c r="S38" s="241"/>
      <c r="T38" s="236">
        <v>3.9700000000000024</v>
      </c>
      <c r="U38" s="242">
        <v>2</v>
      </c>
      <c r="V38" s="238"/>
      <c r="W38" s="239">
        <v>-7</v>
      </c>
      <c r="X38" s="240">
        <v>0</v>
      </c>
      <c r="Y38" s="241"/>
      <c r="Z38" s="236">
        <v>-7</v>
      </c>
      <c r="AA38" s="242">
        <v>0</v>
      </c>
      <c r="AB38" s="238"/>
      <c r="AC38" s="239">
        <v>-7</v>
      </c>
      <c r="AD38" s="240">
        <v>0</v>
      </c>
      <c r="AE38" s="241"/>
      <c r="AF38" s="236">
        <v>-7</v>
      </c>
      <c r="AG38" s="242">
        <v>0</v>
      </c>
      <c r="AH38" s="238"/>
      <c r="AI38" s="239">
        <v>-7</v>
      </c>
      <c r="AJ38" s="240">
        <v>0</v>
      </c>
      <c r="AK38" s="241"/>
      <c r="AL38" s="236">
        <v>12.09</v>
      </c>
      <c r="AM38" s="242">
        <v>2</v>
      </c>
      <c r="AN38" s="238">
        <v>5</v>
      </c>
      <c r="AO38" s="239">
        <v>9.7624999999999993</v>
      </c>
      <c r="AP38" s="240">
        <v>2</v>
      </c>
      <c r="AQ38" s="241"/>
      <c r="AR38" s="236">
        <v>-7</v>
      </c>
      <c r="AS38" s="242">
        <v>0</v>
      </c>
      <c r="AT38" s="238"/>
      <c r="AU38" s="239">
        <v>-7</v>
      </c>
      <c r="AV38" s="240">
        <v>0</v>
      </c>
      <c r="AW38" s="241"/>
      <c r="AX38" s="236">
        <v>-7</v>
      </c>
      <c r="AY38" s="242">
        <v>0</v>
      </c>
      <c r="AZ38" s="238"/>
      <c r="BA38" s="239">
        <v>-5.5555555555555554</v>
      </c>
      <c r="BB38" s="240">
        <v>1</v>
      </c>
      <c r="BC38" s="241"/>
      <c r="BD38" s="236">
        <v>-7</v>
      </c>
      <c r="BE38" s="242">
        <v>0</v>
      </c>
      <c r="BF38" s="238"/>
      <c r="BG38" s="239"/>
      <c r="BH38" s="243"/>
      <c r="BI38" s="241"/>
      <c r="BJ38" s="236"/>
      <c r="BK38" s="242"/>
      <c r="BL38" s="238"/>
      <c r="BM38" s="239"/>
      <c r="BN38" s="243"/>
      <c r="BO38" s="241"/>
      <c r="BP38" s="236"/>
      <c r="BQ38" s="242"/>
      <c r="BR38" s="238"/>
      <c r="BS38" s="239"/>
      <c r="BT38" s="240"/>
      <c r="BU38" s="241"/>
      <c r="BV38" s="239">
        <f t="shared" si="12"/>
        <v>-55.288611111111109</v>
      </c>
      <c r="BW38" s="240">
        <f t="shared" si="13"/>
        <v>8</v>
      </c>
      <c r="BX38" s="241">
        <f t="shared" si="14"/>
        <v>5</v>
      </c>
      <c r="BY38" s="48"/>
      <c r="DX38" s="49"/>
      <c r="DY38" s="49"/>
      <c r="EF38" s="46"/>
      <c r="EG38" s="46"/>
    </row>
    <row r="39" spans="1:137" hidden="1">
      <c r="A39" s="246">
        <f t="shared" si="9"/>
        <v>6</v>
      </c>
      <c r="B39" s="246">
        <f t="shared" si="1"/>
        <v>30</v>
      </c>
      <c r="C39" s="246">
        <v>24</v>
      </c>
      <c r="D39" s="290" t="str">
        <f>INDEX(Table!E:E,MATCH(E39,Table!F:F,0))</f>
        <v>A</v>
      </c>
      <c r="E39" s="232" t="s">
        <v>300</v>
      </c>
      <c r="F39" s="244">
        <f t="shared" si="10"/>
        <v>40.49526223776224</v>
      </c>
      <c r="G39" s="54">
        <f t="shared" si="11"/>
        <v>21</v>
      </c>
      <c r="H39" s="639">
        <v>-5.05</v>
      </c>
      <c r="I39" s="640">
        <v>1</v>
      </c>
      <c r="J39" s="234">
        <f t="shared" si="7"/>
        <v>15</v>
      </c>
      <c r="K39" s="235"/>
      <c r="L39" s="235">
        <f>INDEX(Table!M:M,MATCH(E39,Table!F:F,0))</f>
        <v>31.5</v>
      </c>
      <c r="M39" s="234">
        <f t="shared" si="8"/>
        <v>46.5</v>
      </c>
      <c r="N39" s="236">
        <v>-5.3333333333333339</v>
      </c>
      <c r="O39" s="237">
        <v>1</v>
      </c>
      <c r="P39" s="238"/>
      <c r="Q39" s="239">
        <v>30.327272727272728</v>
      </c>
      <c r="R39" s="240">
        <v>3</v>
      </c>
      <c r="S39" s="241">
        <v>10</v>
      </c>
      <c r="T39" s="236">
        <v>-5.2</v>
      </c>
      <c r="U39" s="242">
        <v>1</v>
      </c>
      <c r="V39" s="238"/>
      <c r="W39" s="239">
        <v>-3.8</v>
      </c>
      <c r="X39" s="240">
        <v>1</v>
      </c>
      <c r="Y39" s="241"/>
      <c r="Z39" s="236">
        <v>0.80000000000000071</v>
      </c>
      <c r="AA39" s="242">
        <v>2</v>
      </c>
      <c r="AB39" s="238"/>
      <c r="AC39" s="239">
        <v>52.218181818181819</v>
      </c>
      <c r="AD39" s="240">
        <v>3</v>
      </c>
      <c r="AE39" s="241">
        <v>5</v>
      </c>
      <c r="AF39" s="236">
        <v>1.6074999999999982</v>
      </c>
      <c r="AG39" s="242">
        <v>2</v>
      </c>
      <c r="AH39" s="238"/>
      <c r="AI39" s="239">
        <v>5.0500000000000007</v>
      </c>
      <c r="AJ39" s="240">
        <v>2</v>
      </c>
      <c r="AK39" s="241"/>
      <c r="AL39" s="236">
        <v>-7</v>
      </c>
      <c r="AM39" s="242">
        <v>0</v>
      </c>
      <c r="AN39" s="238"/>
      <c r="AO39" s="239">
        <v>-5.75</v>
      </c>
      <c r="AP39" s="240">
        <v>1</v>
      </c>
      <c r="AQ39" s="241"/>
      <c r="AR39" s="236">
        <v>-7</v>
      </c>
      <c r="AS39" s="242">
        <v>0</v>
      </c>
      <c r="AT39" s="238"/>
      <c r="AU39" s="239">
        <v>-5.1538461538461533</v>
      </c>
      <c r="AV39" s="240">
        <v>1</v>
      </c>
      <c r="AW39" s="241"/>
      <c r="AX39" s="236">
        <v>-6.666666666666643E-2</v>
      </c>
      <c r="AY39" s="242">
        <v>2</v>
      </c>
      <c r="AZ39" s="238"/>
      <c r="BA39" s="239">
        <v>-5.1538461538461533</v>
      </c>
      <c r="BB39" s="240">
        <v>1</v>
      </c>
      <c r="BC39" s="241"/>
      <c r="BD39" s="236">
        <v>-5.05</v>
      </c>
      <c r="BE39" s="242">
        <v>1</v>
      </c>
      <c r="BF39" s="238"/>
      <c r="BG39" s="239"/>
      <c r="BH39" s="243"/>
      <c r="BI39" s="241"/>
      <c r="BJ39" s="236"/>
      <c r="BK39" s="242"/>
      <c r="BL39" s="238"/>
      <c r="BM39" s="239"/>
      <c r="BN39" s="243"/>
      <c r="BO39" s="241"/>
      <c r="BP39" s="236"/>
      <c r="BQ39" s="242"/>
      <c r="BR39" s="238"/>
      <c r="BS39" s="239"/>
      <c r="BT39" s="240"/>
      <c r="BU39" s="241"/>
      <c r="BV39" s="239">
        <f t="shared" si="12"/>
        <v>40.49526223776224</v>
      </c>
      <c r="BW39" s="240">
        <f t="shared" si="13"/>
        <v>21</v>
      </c>
      <c r="BX39" s="241">
        <f t="shared" si="14"/>
        <v>15</v>
      </c>
      <c r="BY39" s="48"/>
      <c r="DX39" s="49"/>
      <c r="DY39" s="49"/>
      <c r="EF39" s="46"/>
      <c r="EG39" s="46"/>
    </row>
    <row r="40" spans="1:137" hidden="1">
      <c r="A40" s="246">
        <f t="shared" si="9"/>
        <v>35</v>
      </c>
      <c r="B40" s="246">
        <f t="shared" si="1"/>
        <v>35</v>
      </c>
      <c r="C40" s="246">
        <v>16</v>
      </c>
      <c r="D40" s="290" t="str">
        <f>INDEX(Table!E:E,MATCH(E40,Table!F:F,0))</f>
        <v>B</v>
      </c>
      <c r="E40" s="232" t="s">
        <v>281</v>
      </c>
      <c r="F40" s="244">
        <f t="shared" si="10"/>
        <v>-47.870006475006477</v>
      </c>
      <c r="G40" s="54">
        <f t="shared" si="11"/>
        <v>17</v>
      </c>
      <c r="H40" s="639">
        <v>-7</v>
      </c>
      <c r="I40" s="640">
        <v>0</v>
      </c>
      <c r="J40" s="234">
        <f t="shared" si="7"/>
        <v>0</v>
      </c>
      <c r="K40" s="235"/>
      <c r="L40" s="235">
        <f>INDEX(Table!M:M,MATCH(E40,Table!F:F,0))</f>
        <v>0</v>
      </c>
      <c r="M40" s="234">
        <f t="shared" si="8"/>
        <v>0</v>
      </c>
      <c r="N40" s="236">
        <v>-1.5</v>
      </c>
      <c r="O40" s="237">
        <v>1</v>
      </c>
      <c r="P40" s="238"/>
      <c r="Q40" s="239">
        <v>-1.5</v>
      </c>
      <c r="R40" s="240">
        <v>1</v>
      </c>
      <c r="S40" s="241"/>
      <c r="T40" s="236">
        <v>0.74499999999999922</v>
      </c>
      <c r="U40" s="242">
        <v>2</v>
      </c>
      <c r="V40" s="238"/>
      <c r="W40" s="239">
        <v>0.72727272727272751</v>
      </c>
      <c r="X40" s="240">
        <v>2</v>
      </c>
      <c r="Y40" s="241"/>
      <c r="Z40" s="236">
        <v>-7</v>
      </c>
      <c r="AA40" s="242">
        <v>0</v>
      </c>
      <c r="AB40" s="238"/>
      <c r="AC40" s="239">
        <v>-1.3499999999999996</v>
      </c>
      <c r="AD40" s="240">
        <v>2</v>
      </c>
      <c r="AE40" s="241"/>
      <c r="AF40" s="236">
        <v>-2.3900000000000006</v>
      </c>
      <c r="AG40" s="242">
        <v>2</v>
      </c>
      <c r="AH40" s="238"/>
      <c r="AI40" s="239">
        <v>-4.7</v>
      </c>
      <c r="AJ40" s="240">
        <v>1</v>
      </c>
      <c r="AK40" s="241"/>
      <c r="AL40" s="236">
        <v>-1.4615384615384617</v>
      </c>
      <c r="AM40" s="242">
        <v>2</v>
      </c>
      <c r="AN40" s="238"/>
      <c r="AO40" s="239">
        <v>-1.0740740740740744</v>
      </c>
      <c r="AP40" s="240">
        <v>2</v>
      </c>
      <c r="AQ40" s="241"/>
      <c r="AR40" s="236">
        <v>-7</v>
      </c>
      <c r="AS40" s="242">
        <v>0</v>
      </c>
      <c r="AT40" s="238"/>
      <c r="AU40" s="239">
        <v>-7</v>
      </c>
      <c r="AV40" s="240">
        <v>0</v>
      </c>
      <c r="AW40" s="241"/>
      <c r="AX40" s="236">
        <v>-2.2000000000000002</v>
      </c>
      <c r="AY40" s="242">
        <v>1</v>
      </c>
      <c r="AZ40" s="238"/>
      <c r="BA40" s="239">
        <v>-5.1666666666666661</v>
      </c>
      <c r="BB40" s="240">
        <v>1</v>
      </c>
      <c r="BC40" s="241"/>
      <c r="BD40" s="236">
        <v>-7</v>
      </c>
      <c r="BE40" s="242">
        <v>0</v>
      </c>
      <c r="BF40" s="238"/>
      <c r="BG40" s="239"/>
      <c r="BH40" s="243"/>
      <c r="BI40" s="241"/>
      <c r="BJ40" s="236"/>
      <c r="BK40" s="242"/>
      <c r="BL40" s="238"/>
      <c r="BM40" s="239"/>
      <c r="BN40" s="243"/>
      <c r="BO40" s="241"/>
      <c r="BP40" s="236"/>
      <c r="BQ40" s="242"/>
      <c r="BR40" s="238"/>
      <c r="BS40" s="239"/>
      <c r="BT40" s="240"/>
      <c r="BU40" s="241"/>
      <c r="BV40" s="239">
        <f t="shared" si="12"/>
        <v>-47.870006475006484</v>
      </c>
      <c r="BW40" s="240">
        <f t="shared" si="13"/>
        <v>17</v>
      </c>
      <c r="BX40" s="241">
        <f t="shared" si="14"/>
        <v>0</v>
      </c>
      <c r="BY40" s="48"/>
      <c r="DX40" s="49"/>
      <c r="DY40" s="49"/>
      <c r="EF40" s="46"/>
      <c r="EG40" s="46"/>
    </row>
    <row r="41" spans="1:137" hidden="1">
      <c r="A41" s="246">
        <f t="shared" si="9"/>
        <v>8</v>
      </c>
      <c r="B41" s="246">
        <f t="shared" si="1"/>
        <v>35</v>
      </c>
      <c r="C41" s="246">
        <v>34</v>
      </c>
      <c r="D41" s="290" t="str">
        <f>INDEX(Table!E:E,MATCH(E41,Table!F:F,0))</f>
        <v>C</v>
      </c>
      <c r="E41" s="232" t="s">
        <v>271</v>
      </c>
      <c r="F41" s="244">
        <f t="shared" si="10"/>
        <v>14.873041125541125</v>
      </c>
      <c r="G41" s="54">
        <f t="shared" si="11"/>
        <v>21</v>
      </c>
      <c r="H41" s="639">
        <v>-7</v>
      </c>
      <c r="I41" s="640">
        <v>0</v>
      </c>
      <c r="J41" s="234">
        <f t="shared" si="7"/>
        <v>20</v>
      </c>
      <c r="K41" s="235"/>
      <c r="L41" s="235">
        <f>INDEX(Table!M:M,MATCH(E41,Table!F:F,0))</f>
        <v>9.4499999999999993</v>
      </c>
      <c r="M41" s="234">
        <f t="shared" si="8"/>
        <v>29.45</v>
      </c>
      <c r="N41" s="236">
        <v>-7</v>
      </c>
      <c r="O41" s="237">
        <v>0</v>
      </c>
      <c r="P41" s="238"/>
      <c r="Q41" s="239">
        <v>-1.7363636363636363</v>
      </c>
      <c r="R41" s="240">
        <v>2</v>
      </c>
      <c r="S41" s="241"/>
      <c r="T41" s="236">
        <v>13.465</v>
      </c>
      <c r="U41" s="242">
        <v>3</v>
      </c>
      <c r="V41" s="238">
        <v>5</v>
      </c>
      <c r="W41" s="239">
        <v>-3.7</v>
      </c>
      <c r="X41" s="240">
        <v>1</v>
      </c>
      <c r="Y41" s="241"/>
      <c r="Z41" s="236">
        <v>23.92</v>
      </c>
      <c r="AA41" s="242">
        <v>3</v>
      </c>
      <c r="AB41" s="238">
        <v>5</v>
      </c>
      <c r="AC41" s="239">
        <v>0.74285714285714288</v>
      </c>
      <c r="AD41" s="240">
        <v>2</v>
      </c>
      <c r="AE41" s="241"/>
      <c r="AF41" s="236">
        <v>-3.2857142857142865</v>
      </c>
      <c r="AG41" s="242">
        <v>2</v>
      </c>
      <c r="AH41" s="238"/>
      <c r="AI41" s="239">
        <v>-7</v>
      </c>
      <c r="AJ41" s="240">
        <v>0</v>
      </c>
      <c r="AK41" s="241"/>
      <c r="AL41" s="236">
        <v>-5.05</v>
      </c>
      <c r="AM41" s="242">
        <v>1</v>
      </c>
      <c r="AN41" s="238"/>
      <c r="AO41" s="239">
        <v>-5.1666666666666661</v>
      </c>
      <c r="AP41" s="240">
        <v>1</v>
      </c>
      <c r="AQ41" s="241"/>
      <c r="AR41" s="236">
        <v>26.571428571428569</v>
      </c>
      <c r="AS41" s="242">
        <v>3</v>
      </c>
      <c r="AT41" s="238">
        <v>10</v>
      </c>
      <c r="AU41" s="239">
        <v>0.8125</v>
      </c>
      <c r="AV41" s="240">
        <v>2</v>
      </c>
      <c r="AW41" s="241"/>
      <c r="AX41" s="236">
        <v>-7</v>
      </c>
      <c r="AY41" s="242">
        <v>0</v>
      </c>
      <c r="AZ41" s="238"/>
      <c r="BA41" s="239">
        <v>-3.7</v>
      </c>
      <c r="BB41" s="240">
        <v>1</v>
      </c>
      <c r="BC41" s="241"/>
      <c r="BD41" s="236">
        <v>-7</v>
      </c>
      <c r="BE41" s="242">
        <v>0</v>
      </c>
      <c r="BF41" s="238"/>
      <c r="BG41" s="239"/>
      <c r="BH41" s="243"/>
      <c r="BI41" s="241"/>
      <c r="BJ41" s="236"/>
      <c r="BK41" s="242"/>
      <c r="BL41" s="238"/>
      <c r="BM41" s="239"/>
      <c r="BN41" s="243"/>
      <c r="BO41" s="241"/>
      <c r="BP41" s="236"/>
      <c r="BQ41" s="242"/>
      <c r="BR41" s="238"/>
      <c r="BS41" s="239"/>
      <c r="BT41" s="240"/>
      <c r="BU41" s="241"/>
      <c r="BV41" s="239">
        <f t="shared" si="12"/>
        <v>14.873041125541128</v>
      </c>
      <c r="BW41" s="240">
        <f t="shared" si="13"/>
        <v>21</v>
      </c>
      <c r="BX41" s="241">
        <f t="shared" si="14"/>
        <v>20</v>
      </c>
      <c r="BY41" s="48"/>
      <c r="DX41" s="49"/>
      <c r="DY41" s="49"/>
      <c r="EF41" s="46"/>
      <c r="EG41" s="46"/>
    </row>
    <row r="42" spans="1:137" hidden="1">
      <c r="A42" s="246">
        <f t="shared" si="9"/>
        <v>22</v>
      </c>
      <c r="B42" s="246">
        <f t="shared" si="1"/>
        <v>6</v>
      </c>
      <c r="C42" s="246">
        <v>34</v>
      </c>
      <c r="D42" s="290" t="str">
        <f>INDEX(Table!E:E,MATCH(E42,Table!F:F,0))</f>
        <v>C</v>
      </c>
      <c r="E42" s="232" t="s">
        <v>292</v>
      </c>
      <c r="F42" s="244">
        <f t="shared" si="10"/>
        <v>-24.773811188811187</v>
      </c>
      <c r="G42" s="54">
        <f t="shared" si="11"/>
        <v>18</v>
      </c>
      <c r="H42" s="639">
        <v>7.5</v>
      </c>
      <c r="I42" s="640">
        <v>2</v>
      </c>
      <c r="J42" s="234">
        <f t="shared" si="7"/>
        <v>5</v>
      </c>
      <c r="K42" s="235"/>
      <c r="L42" s="235">
        <f>INDEX(Table!M:M,MATCH(E42,Table!F:F,0))</f>
        <v>0</v>
      </c>
      <c r="M42" s="234">
        <f t="shared" si="8"/>
        <v>5</v>
      </c>
      <c r="N42" s="236">
        <v>-7</v>
      </c>
      <c r="O42" s="237">
        <v>0</v>
      </c>
      <c r="P42" s="238"/>
      <c r="Q42" s="239">
        <v>-7</v>
      </c>
      <c r="R42" s="240">
        <v>0</v>
      </c>
      <c r="S42" s="241"/>
      <c r="T42" s="236">
        <v>-5.35</v>
      </c>
      <c r="U42" s="242">
        <v>1</v>
      </c>
      <c r="V42" s="238"/>
      <c r="W42" s="239">
        <v>-7</v>
      </c>
      <c r="X42" s="240">
        <v>0</v>
      </c>
      <c r="Y42" s="241"/>
      <c r="Z42" s="236">
        <v>-0.30499999999999972</v>
      </c>
      <c r="AA42" s="242">
        <v>2</v>
      </c>
      <c r="AB42" s="238"/>
      <c r="AC42" s="239">
        <v>-7</v>
      </c>
      <c r="AD42" s="240">
        <v>0</v>
      </c>
      <c r="AE42" s="241"/>
      <c r="AF42" s="236">
        <v>-3.8</v>
      </c>
      <c r="AG42" s="242">
        <v>1</v>
      </c>
      <c r="AH42" s="238"/>
      <c r="AI42" s="239">
        <v>9.875</v>
      </c>
      <c r="AJ42" s="240">
        <v>2</v>
      </c>
      <c r="AK42" s="241">
        <v>5</v>
      </c>
      <c r="AL42" s="236">
        <v>-5.0909090909090908</v>
      </c>
      <c r="AM42" s="242">
        <v>1</v>
      </c>
      <c r="AN42" s="238"/>
      <c r="AO42" s="239">
        <v>10.327272727272728</v>
      </c>
      <c r="AP42" s="240">
        <v>3</v>
      </c>
      <c r="AQ42" s="241"/>
      <c r="AR42" s="236">
        <v>-0.30499999999999972</v>
      </c>
      <c r="AS42" s="242">
        <v>2</v>
      </c>
      <c r="AT42" s="238"/>
      <c r="AU42" s="239">
        <v>-5.65</v>
      </c>
      <c r="AV42" s="240">
        <v>1</v>
      </c>
      <c r="AW42" s="241"/>
      <c r="AX42" s="236">
        <v>1.174825174825175</v>
      </c>
      <c r="AY42" s="242">
        <v>2</v>
      </c>
      <c r="AZ42" s="238"/>
      <c r="BA42" s="239">
        <v>-5.15</v>
      </c>
      <c r="BB42" s="240">
        <v>1</v>
      </c>
      <c r="BC42" s="241"/>
      <c r="BD42" s="236">
        <v>7.5</v>
      </c>
      <c r="BE42" s="242">
        <v>2</v>
      </c>
      <c r="BF42" s="238"/>
      <c r="BG42" s="239"/>
      <c r="BH42" s="243"/>
      <c r="BI42" s="241"/>
      <c r="BJ42" s="236"/>
      <c r="BK42" s="242"/>
      <c r="BL42" s="238"/>
      <c r="BM42" s="239"/>
      <c r="BN42" s="243"/>
      <c r="BO42" s="241"/>
      <c r="BP42" s="236"/>
      <c r="BQ42" s="242"/>
      <c r="BR42" s="238"/>
      <c r="BS42" s="239"/>
      <c r="BT42" s="240"/>
      <c r="BU42" s="241"/>
      <c r="BV42" s="239">
        <f t="shared" si="12"/>
        <v>-24.773811188811187</v>
      </c>
      <c r="BW42" s="240">
        <f t="shared" si="13"/>
        <v>18</v>
      </c>
      <c r="BX42" s="241">
        <f t="shared" si="14"/>
        <v>5</v>
      </c>
      <c r="BY42" s="48"/>
      <c r="DX42" s="49"/>
      <c r="DY42" s="49"/>
      <c r="EF42" s="46"/>
      <c r="EG42" s="46"/>
    </row>
    <row r="43" spans="1:137" hidden="1">
      <c r="A43" s="246">
        <f t="shared" si="9"/>
        <v>45</v>
      </c>
      <c r="B43" s="246">
        <f t="shared" si="1"/>
        <v>35</v>
      </c>
      <c r="C43" s="246">
        <v>34</v>
      </c>
      <c r="D43" s="290" t="str">
        <f>INDEX(Table!E:E,MATCH(E43,Table!F:F,0))</f>
        <v>A</v>
      </c>
      <c r="E43" s="232" t="s">
        <v>296</v>
      </c>
      <c r="F43" s="244">
        <f t="shared" si="10"/>
        <v>-80.05</v>
      </c>
      <c r="G43" s="54">
        <f t="shared" si="11"/>
        <v>5</v>
      </c>
      <c r="H43" s="639">
        <v>-7</v>
      </c>
      <c r="I43" s="640">
        <v>0</v>
      </c>
      <c r="J43" s="234">
        <f t="shared" si="7"/>
        <v>0</v>
      </c>
      <c r="K43" s="235"/>
      <c r="L43" s="235">
        <f>INDEX(Table!M:M,MATCH(E43,Table!F:F,0))</f>
        <v>0</v>
      </c>
      <c r="M43" s="234">
        <f t="shared" si="8"/>
        <v>0</v>
      </c>
      <c r="N43" s="236">
        <v>-7</v>
      </c>
      <c r="O43" s="237">
        <v>0</v>
      </c>
      <c r="P43" s="238"/>
      <c r="Q43" s="239">
        <v>-0.95000000000000018</v>
      </c>
      <c r="R43" s="240">
        <v>1</v>
      </c>
      <c r="S43" s="241"/>
      <c r="T43" s="236">
        <v>-7</v>
      </c>
      <c r="U43" s="242">
        <v>0</v>
      </c>
      <c r="V43" s="238"/>
      <c r="W43" s="239">
        <v>-7</v>
      </c>
      <c r="X43" s="240">
        <v>0</v>
      </c>
      <c r="Y43" s="241"/>
      <c r="Z43" s="236">
        <v>-7</v>
      </c>
      <c r="AA43" s="242">
        <v>0</v>
      </c>
      <c r="AB43" s="238"/>
      <c r="AC43" s="239">
        <v>-3</v>
      </c>
      <c r="AD43" s="240">
        <v>1</v>
      </c>
      <c r="AE43" s="241"/>
      <c r="AF43" s="236">
        <v>-7</v>
      </c>
      <c r="AG43" s="242">
        <v>0</v>
      </c>
      <c r="AH43" s="238"/>
      <c r="AI43" s="239">
        <v>-3.7</v>
      </c>
      <c r="AJ43" s="240">
        <v>1</v>
      </c>
      <c r="AK43" s="241"/>
      <c r="AL43" s="236">
        <v>-7</v>
      </c>
      <c r="AM43" s="242">
        <v>0</v>
      </c>
      <c r="AN43" s="238"/>
      <c r="AO43" s="239">
        <v>-2.8</v>
      </c>
      <c r="AP43" s="240">
        <v>1</v>
      </c>
      <c r="AQ43" s="241"/>
      <c r="AR43" s="236">
        <v>-7</v>
      </c>
      <c r="AS43" s="242">
        <v>0</v>
      </c>
      <c r="AT43" s="238"/>
      <c r="AU43" s="239">
        <v>-7</v>
      </c>
      <c r="AV43" s="240">
        <v>0</v>
      </c>
      <c r="AW43" s="241"/>
      <c r="AX43" s="236">
        <v>-3.6</v>
      </c>
      <c r="AY43" s="242">
        <v>1</v>
      </c>
      <c r="AZ43" s="238"/>
      <c r="BA43" s="239">
        <v>-3</v>
      </c>
      <c r="BB43" s="240">
        <v>0</v>
      </c>
      <c r="BC43" s="241"/>
      <c r="BD43" s="236">
        <v>-7</v>
      </c>
      <c r="BE43" s="242">
        <v>0</v>
      </c>
      <c r="BF43" s="238"/>
      <c r="BG43" s="239"/>
      <c r="BH43" s="243"/>
      <c r="BI43" s="241"/>
      <c r="BJ43" s="236"/>
      <c r="BK43" s="242"/>
      <c r="BL43" s="238"/>
      <c r="BM43" s="239"/>
      <c r="BN43" s="243"/>
      <c r="BO43" s="241"/>
      <c r="BP43" s="236"/>
      <c r="BQ43" s="242"/>
      <c r="BR43" s="238"/>
      <c r="BS43" s="239"/>
      <c r="BT43" s="240"/>
      <c r="BU43" s="241"/>
      <c r="BV43" s="239">
        <f t="shared" si="12"/>
        <v>-80.050000000000011</v>
      </c>
      <c r="BW43" s="240">
        <f t="shared" si="13"/>
        <v>5</v>
      </c>
      <c r="BX43" s="241">
        <f t="shared" si="14"/>
        <v>0</v>
      </c>
      <c r="BY43" s="48"/>
      <c r="DX43" s="49"/>
      <c r="DY43" s="49"/>
      <c r="EF43" s="46"/>
      <c r="EG43" s="46"/>
    </row>
    <row r="44" spans="1:137">
      <c r="A44" s="246">
        <f t="shared" si="9"/>
        <v>24</v>
      </c>
      <c r="B44" s="246">
        <f t="shared" si="1"/>
        <v>2</v>
      </c>
      <c r="C44" s="246">
        <v>34</v>
      </c>
      <c r="D44" s="290" t="str">
        <f>INDEX(Table!E:E,MATCH(E44,Table!F:F,0))</f>
        <v>B</v>
      </c>
      <c r="E44" s="232" t="s">
        <v>304</v>
      </c>
      <c r="F44" s="244">
        <f t="shared" si="10"/>
        <v>-27.917812937062934</v>
      </c>
      <c r="G44" s="54">
        <f t="shared" si="11"/>
        <v>15</v>
      </c>
      <c r="H44" s="639">
        <v>14</v>
      </c>
      <c r="I44" s="640">
        <v>2</v>
      </c>
      <c r="J44" s="234">
        <f t="shared" si="7"/>
        <v>10</v>
      </c>
      <c r="K44" s="235"/>
      <c r="L44" s="235">
        <f>INDEX(Table!M:M,MATCH(E44,Table!F:F,0))</f>
        <v>0</v>
      </c>
      <c r="M44" s="234">
        <f t="shared" si="8"/>
        <v>10</v>
      </c>
      <c r="N44" s="236">
        <v>-7</v>
      </c>
      <c r="O44" s="237">
        <v>0</v>
      </c>
      <c r="P44" s="238"/>
      <c r="Q44" s="239">
        <v>-7</v>
      </c>
      <c r="R44" s="240">
        <v>0</v>
      </c>
      <c r="S44" s="241"/>
      <c r="T44" s="236">
        <v>-3</v>
      </c>
      <c r="U44" s="242">
        <v>1</v>
      </c>
      <c r="V44" s="238"/>
      <c r="W44" s="239">
        <v>-7</v>
      </c>
      <c r="X44" s="240">
        <v>0</v>
      </c>
      <c r="Y44" s="241"/>
      <c r="Z44" s="236">
        <v>-2</v>
      </c>
      <c r="AA44" s="242">
        <v>1</v>
      </c>
      <c r="AB44" s="238"/>
      <c r="AC44" s="239">
        <v>12.999249999999996</v>
      </c>
      <c r="AD44" s="240">
        <v>3</v>
      </c>
      <c r="AE44" s="241">
        <v>5</v>
      </c>
      <c r="AF44" s="236">
        <v>-3.8</v>
      </c>
      <c r="AG44" s="242">
        <v>1</v>
      </c>
      <c r="AH44" s="238"/>
      <c r="AI44" s="239">
        <v>-7</v>
      </c>
      <c r="AJ44" s="240">
        <v>0</v>
      </c>
      <c r="AK44" s="241"/>
      <c r="AL44" s="236">
        <v>-5.0909090909090908</v>
      </c>
      <c r="AM44" s="242">
        <v>1</v>
      </c>
      <c r="AN44" s="238"/>
      <c r="AO44" s="239">
        <v>-3.8</v>
      </c>
      <c r="AP44" s="240">
        <v>1</v>
      </c>
      <c r="AQ44" s="241"/>
      <c r="AR44" s="236">
        <v>4.4200000000000017</v>
      </c>
      <c r="AS44" s="242">
        <v>2</v>
      </c>
      <c r="AT44" s="238"/>
      <c r="AU44" s="239">
        <v>-3.8</v>
      </c>
      <c r="AV44" s="240">
        <v>1</v>
      </c>
      <c r="AW44" s="241"/>
      <c r="AX44" s="236">
        <v>-4.8461538461538467</v>
      </c>
      <c r="AY44" s="242">
        <v>1</v>
      </c>
      <c r="AZ44" s="238"/>
      <c r="BA44" s="239">
        <v>-5</v>
      </c>
      <c r="BB44" s="240">
        <v>1</v>
      </c>
      <c r="BC44" s="241"/>
      <c r="BD44" s="236">
        <v>14</v>
      </c>
      <c r="BE44" s="242">
        <v>2</v>
      </c>
      <c r="BF44" s="238">
        <v>5</v>
      </c>
      <c r="BG44" s="239"/>
      <c r="BH44" s="243"/>
      <c r="BI44" s="241"/>
      <c r="BJ44" s="236"/>
      <c r="BK44" s="242"/>
      <c r="BL44" s="238"/>
      <c r="BM44" s="239"/>
      <c r="BN44" s="243"/>
      <c r="BO44" s="241"/>
      <c r="BP44" s="236"/>
      <c r="BQ44" s="242"/>
      <c r="BR44" s="238"/>
      <c r="BS44" s="239"/>
      <c r="BT44" s="240"/>
      <c r="BU44" s="241"/>
      <c r="BV44" s="239">
        <f t="shared" si="12"/>
        <v>-27.917812937062941</v>
      </c>
      <c r="BW44" s="240">
        <f t="shared" si="13"/>
        <v>15</v>
      </c>
      <c r="BX44" s="241">
        <f t="shared" si="14"/>
        <v>10</v>
      </c>
      <c r="BY44" s="48"/>
      <c r="DX44" s="49"/>
      <c r="DY44" s="49"/>
      <c r="EF44" s="46"/>
      <c r="EG44" s="46"/>
    </row>
    <row r="45" spans="1:137" hidden="1">
      <c r="A45" s="246">
        <f t="shared" si="9"/>
        <v>28</v>
      </c>
      <c r="B45" s="246">
        <f t="shared" si="1"/>
        <v>17</v>
      </c>
      <c r="C45" s="246">
        <v>17</v>
      </c>
      <c r="D45" s="290" t="str">
        <f>INDEX(Table!E:E,MATCH(E45,Table!F:F,0))</f>
        <v>B</v>
      </c>
      <c r="E45" s="232" t="s">
        <v>307</v>
      </c>
      <c r="F45" s="244">
        <f t="shared" si="10"/>
        <v>-32.587728332273784</v>
      </c>
      <c r="G45" s="54">
        <f t="shared" si="11"/>
        <v>23</v>
      </c>
      <c r="H45" s="639">
        <v>-1.666666666666667</v>
      </c>
      <c r="I45" s="640">
        <v>2</v>
      </c>
      <c r="J45" s="234">
        <f t="shared" si="7"/>
        <v>0</v>
      </c>
      <c r="K45" s="235"/>
      <c r="L45" s="235">
        <f>INDEX(Table!M:M,MATCH(E45,Table!F:F,0))</f>
        <v>0</v>
      </c>
      <c r="M45" s="234">
        <f t="shared" si="8"/>
        <v>0</v>
      </c>
      <c r="N45" s="236">
        <v>-1.6068376068376065</v>
      </c>
      <c r="O45" s="237">
        <v>2</v>
      </c>
      <c r="P45" s="238"/>
      <c r="Q45" s="239">
        <v>-1.3</v>
      </c>
      <c r="R45" s="240">
        <v>1</v>
      </c>
      <c r="S45" s="241"/>
      <c r="T45" s="236">
        <v>-5.7</v>
      </c>
      <c r="U45" s="242">
        <v>1</v>
      </c>
      <c r="V45" s="238"/>
      <c r="W45" s="239">
        <v>-7</v>
      </c>
      <c r="X45" s="240">
        <v>0</v>
      </c>
      <c r="Y45" s="241"/>
      <c r="Z45" s="236">
        <v>-1.5833333333333339</v>
      </c>
      <c r="AA45" s="242">
        <v>2</v>
      </c>
      <c r="AB45" s="238"/>
      <c r="AC45" s="239">
        <v>-7</v>
      </c>
      <c r="AD45" s="240">
        <v>0</v>
      </c>
      <c r="AE45" s="241"/>
      <c r="AF45" s="236">
        <v>1.4400000000000013</v>
      </c>
      <c r="AG45" s="242">
        <v>2</v>
      </c>
      <c r="AH45" s="238"/>
      <c r="AI45" s="239">
        <v>-0.80000000000000071</v>
      </c>
      <c r="AJ45" s="240">
        <v>2</v>
      </c>
      <c r="AK45" s="241"/>
      <c r="AL45" s="236">
        <v>-5.5555555555555554</v>
      </c>
      <c r="AM45" s="242">
        <v>1</v>
      </c>
      <c r="AN45" s="238"/>
      <c r="AO45" s="239">
        <v>9.1111111111111107</v>
      </c>
      <c r="AP45" s="240">
        <v>3</v>
      </c>
      <c r="AQ45" s="241"/>
      <c r="AR45" s="236">
        <v>-1.25</v>
      </c>
      <c r="AS45" s="242">
        <v>2</v>
      </c>
      <c r="AT45" s="238"/>
      <c r="AU45" s="239">
        <v>-2.4727272727272727</v>
      </c>
      <c r="AV45" s="240">
        <v>2</v>
      </c>
      <c r="AW45" s="241"/>
      <c r="AX45" s="236">
        <v>-5.65</v>
      </c>
      <c r="AY45" s="242">
        <v>1</v>
      </c>
      <c r="AZ45" s="238"/>
      <c r="BA45" s="239">
        <v>-1.5537190082644621</v>
      </c>
      <c r="BB45" s="240">
        <v>2</v>
      </c>
      <c r="BC45" s="241"/>
      <c r="BD45" s="236">
        <v>-1.666666666666667</v>
      </c>
      <c r="BE45" s="242">
        <v>2</v>
      </c>
      <c r="BF45" s="238"/>
      <c r="BG45" s="239"/>
      <c r="BH45" s="243"/>
      <c r="BI45" s="241"/>
      <c r="BJ45" s="236"/>
      <c r="BK45" s="242"/>
      <c r="BL45" s="238"/>
      <c r="BM45" s="239"/>
      <c r="BN45" s="243"/>
      <c r="BO45" s="241"/>
      <c r="BP45" s="236"/>
      <c r="BQ45" s="242"/>
      <c r="BR45" s="238"/>
      <c r="BS45" s="239"/>
      <c r="BT45" s="240"/>
      <c r="BU45" s="241"/>
      <c r="BV45" s="239">
        <f t="shared" si="12"/>
        <v>-32.587728332273784</v>
      </c>
      <c r="BW45" s="240">
        <f t="shared" si="13"/>
        <v>23</v>
      </c>
      <c r="BX45" s="241">
        <f t="shared" si="14"/>
        <v>0</v>
      </c>
      <c r="BY45" s="48"/>
      <c r="DX45" s="49"/>
      <c r="DY45" s="49"/>
      <c r="EF45" s="46"/>
      <c r="EG45" s="46"/>
    </row>
    <row r="46" spans="1:137" hidden="1">
      <c r="A46" s="246">
        <f t="shared" si="9"/>
        <v>10</v>
      </c>
      <c r="B46" s="246">
        <f t="shared" si="1"/>
        <v>15</v>
      </c>
      <c r="C46" s="246">
        <v>21</v>
      </c>
      <c r="D46" s="290" t="str">
        <f>INDEX(Table!E:E,MATCH(E46,Table!F:F,0))</f>
        <v>A</v>
      </c>
      <c r="E46" s="232" t="s">
        <v>295</v>
      </c>
      <c r="F46" s="244">
        <f t="shared" si="10"/>
        <v>1.9268205128205116</v>
      </c>
      <c r="G46" s="54">
        <f t="shared" si="11"/>
        <v>25</v>
      </c>
      <c r="H46" s="639">
        <v>-0.84500000000000064</v>
      </c>
      <c r="I46" s="640">
        <v>2</v>
      </c>
      <c r="J46" s="234">
        <f t="shared" si="7"/>
        <v>10</v>
      </c>
      <c r="K46" s="235"/>
      <c r="L46" s="235">
        <f>INDEX(Table!M:M,MATCH(E46,Table!F:F,0))</f>
        <v>21</v>
      </c>
      <c r="M46" s="234">
        <f t="shared" si="8"/>
        <v>31</v>
      </c>
      <c r="N46" s="236">
        <v>-4.8461538461538467</v>
      </c>
      <c r="O46" s="237">
        <v>1</v>
      </c>
      <c r="P46" s="238"/>
      <c r="Q46" s="239">
        <v>3.7300000000000004</v>
      </c>
      <c r="R46" s="240">
        <v>2</v>
      </c>
      <c r="S46" s="241"/>
      <c r="T46" s="236">
        <v>-0.39999999999999991</v>
      </c>
      <c r="U46" s="242">
        <v>1</v>
      </c>
      <c r="V46" s="238"/>
      <c r="W46" s="239">
        <v>-7</v>
      </c>
      <c r="X46" s="240">
        <v>0</v>
      </c>
      <c r="Y46" s="241"/>
      <c r="Z46" s="236">
        <v>2.125</v>
      </c>
      <c r="AA46" s="242">
        <v>2</v>
      </c>
      <c r="AB46" s="238"/>
      <c r="AC46" s="239">
        <v>10.589500000000001</v>
      </c>
      <c r="AD46" s="240">
        <v>3</v>
      </c>
      <c r="AE46" s="241"/>
      <c r="AF46" s="236">
        <v>-7</v>
      </c>
      <c r="AG46" s="242">
        <v>0</v>
      </c>
      <c r="AH46" s="238"/>
      <c r="AI46" s="239">
        <v>7.8125</v>
      </c>
      <c r="AJ46" s="240">
        <v>3</v>
      </c>
      <c r="AK46" s="241">
        <v>5</v>
      </c>
      <c r="AL46" s="236">
        <v>-1.75</v>
      </c>
      <c r="AM46" s="242">
        <v>2</v>
      </c>
      <c r="AN46" s="238"/>
      <c r="AO46" s="239">
        <v>-1.125</v>
      </c>
      <c r="AP46" s="240">
        <v>2</v>
      </c>
      <c r="AQ46" s="241"/>
      <c r="AR46" s="236">
        <v>11.151999999999997</v>
      </c>
      <c r="AS46" s="242">
        <v>3</v>
      </c>
      <c r="AT46" s="238">
        <v>5</v>
      </c>
      <c r="AU46" s="239">
        <v>-5.1538461538461533</v>
      </c>
      <c r="AV46" s="240">
        <v>1</v>
      </c>
      <c r="AW46" s="241"/>
      <c r="AX46" s="236">
        <v>-0.20833333333333304</v>
      </c>
      <c r="AY46" s="242">
        <v>2</v>
      </c>
      <c r="AZ46" s="238"/>
      <c r="BA46" s="239">
        <v>-5.1538461538461533</v>
      </c>
      <c r="BB46" s="240">
        <v>1</v>
      </c>
      <c r="BC46" s="241"/>
      <c r="BD46" s="236">
        <v>-0.84500000000000064</v>
      </c>
      <c r="BE46" s="242">
        <v>2</v>
      </c>
      <c r="BF46" s="238"/>
      <c r="BG46" s="239"/>
      <c r="BH46" s="243"/>
      <c r="BI46" s="241"/>
      <c r="BJ46" s="236"/>
      <c r="BK46" s="242"/>
      <c r="BL46" s="238"/>
      <c r="BM46" s="239"/>
      <c r="BN46" s="243"/>
      <c r="BO46" s="241"/>
      <c r="BP46" s="236"/>
      <c r="BQ46" s="242"/>
      <c r="BR46" s="238"/>
      <c r="BS46" s="239"/>
      <c r="BT46" s="240"/>
      <c r="BU46" s="241"/>
      <c r="BV46" s="239">
        <f t="shared" si="12"/>
        <v>1.9268205128205107</v>
      </c>
      <c r="BW46" s="240">
        <f t="shared" si="13"/>
        <v>25</v>
      </c>
      <c r="BX46" s="241">
        <f t="shared" si="14"/>
        <v>10</v>
      </c>
      <c r="BY46" s="48"/>
      <c r="DX46" s="49"/>
      <c r="DY46" s="49"/>
      <c r="EF46" s="46"/>
      <c r="EG46" s="46"/>
    </row>
    <row r="47" spans="1:137" hidden="1">
      <c r="A47" s="246">
        <f t="shared" si="9"/>
        <v>31</v>
      </c>
      <c r="B47" s="246">
        <f t="shared" si="1"/>
        <v>19</v>
      </c>
      <c r="C47" s="246">
        <v>11</v>
      </c>
      <c r="D47" s="290" t="str">
        <f>INDEX(Table!E:E,MATCH(E47,Table!F:F,0))</f>
        <v>C</v>
      </c>
      <c r="E47" s="232" t="s">
        <v>297</v>
      </c>
      <c r="F47" s="244">
        <f t="shared" si="10"/>
        <v>-40.105454545454542</v>
      </c>
      <c r="G47" s="54">
        <f t="shared" si="11"/>
        <v>15</v>
      </c>
      <c r="H47" s="639">
        <v>-3.6</v>
      </c>
      <c r="I47" s="640">
        <v>1</v>
      </c>
      <c r="J47" s="234">
        <f t="shared" si="7"/>
        <v>5</v>
      </c>
      <c r="K47" s="235"/>
      <c r="L47" s="235">
        <f>INDEX(Table!M:M,MATCH(E47,Table!F:F,0))</f>
        <v>0</v>
      </c>
      <c r="M47" s="234">
        <f t="shared" si="8"/>
        <v>5</v>
      </c>
      <c r="N47" s="236">
        <v>0.1545454545454561</v>
      </c>
      <c r="O47" s="237">
        <v>2</v>
      </c>
      <c r="P47" s="238"/>
      <c r="Q47" s="239">
        <v>-3.3</v>
      </c>
      <c r="R47" s="240">
        <v>1</v>
      </c>
      <c r="S47" s="241"/>
      <c r="T47" s="236">
        <v>4.4200000000000017</v>
      </c>
      <c r="U47" s="242">
        <v>2</v>
      </c>
      <c r="V47" s="238"/>
      <c r="W47" s="239">
        <v>11.32</v>
      </c>
      <c r="X47" s="240">
        <v>2</v>
      </c>
      <c r="Y47" s="241">
        <v>5</v>
      </c>
      <c r="Z47" s="236">
        <v>-4.5999999999999996</v>
      </c>
      <c r="AA47" s="242">
        <v>1</v>
      </c>
      <c r="AB47" s="238"/>
      <c r="AC47" s="239">
        <v>-3.5</v>
      </c>
      <c r="AD47" s="240">
        <v>1</v>
      </c>
      <c r="AE47" s="241"/>
      <c r="AF47" s="236">
        <v>-7</v>
      </c>
      <c r="AG47" s="242">
        <v>0</v>
      </c>
      <c r="AH47" s="238"/>
      <c r="AI47" s="239">
        <v>-3.7</v>
      </c>
      <c r="AJ47" s="240">
        <v>1</v>
      </c>
      <c r="AK47" s="241"/>
      <c r="AL47" s="236">
        <v>-3.5</v>
      </c>
      <c r="AM47" s="242">
        <v>1</v>
      </c>
      <c r="AN47" s="238"/>
      <c r="AO47" s="239">
        <v>-3</v>
      </c>
      <c r="AP47" s="240">
        <v>1</v>
      </c>
      <c r="AQ47" s="241"/>
      <c r="AR47" s="236">
        <v>-7</v>
      </c>
      <c r="AS47" s="242">
        <v>0</v>
      </c>
      <c r="AT47" s="238"/>
      <c r="AU47" s="239">
        <v>-5.2</v>
      </c>
      <c r="AV47" s="240">
        <v>1</v>
      </c>
      <c r="AW47" s="241"/>
      <c r="AX47" s="236">
        <v>-4.5999999999999996</v>
      </c>
      <c r="AY47" s="242">
        <v>1</v>
      </c>
      <c r="AZ47" s="238"/>
      <c r="BA47" s="239">
        <v>-7</v>
      </c>
      <c r="BB47" s="240">
        <v>0</v>
      </c>
      <c r="BC47" s="241"/>
      <c r="BD47" s="236">
        <v>-3.6</v>
      </c>
      <c r="BE47" s="242">
        <v>1</v>
      </c>
      <c r="BF47" s="238"/>
      <c r="BG47" s="239"/>
      <c r="BH47" s="243"/>
      <c r="BI47" s="241"/>
      <c r="BJ47" s="236"/>
      <c r="BK47" s="242"/>
      <c r="BL47" s="238"/>
      <c r="BM47" s="239"/>
      <c r="BN47" s="243"/>
      <c r="BO47" s="241"/>
      <c r="BP47" s="236"/>
      <c r="BQ47" s="242"/>
      <c r="BR47" s="238"/>
      <c r="BS47" s="239"/>
      <c r="BT47" s="240"/>
      <c r="BU47" s="241"/>
      <c r="BV47" s="239">
        <f t="shared" si="12"/>
        <v>-40.105454545454542</v>
      </c>
      <c r="BW47" s="240">
        <f t="shared" si="13"/>
        <v>15</v>
      </c>
      <c r="BX47" s="241">
        <f t="shared" si="14"/>
        <v>5</v>
      </c>
      <c r="BY47" s="48"/>
      <c r="DX47" s="49"/>
      <c r="DY47" s="49"/>
      <c r="EF47" s="46"/>
      <c r="EG47" s="46"/>
    </row>
    <row r="48" spans="1:137" hidden="1">
      <c r="A48" s="246">
        <f t="shared" si="9"/>
        <v>27</v>
      </c>
      <c r="B48" s="246">
        <f t="shared" si="1"/>
        <v>8</v>
      </c>
      <c r="C48" s="246">
        <v>34</v>
      </c>
      <c r="D48" s="290" t="str">
        <f>INDEX(Table!E:E,MATCH(E48,Table!F:F,0))</f>
        <v>A</v>
      </c>
      <c r="E48" s="232" t="s">
        <v>272</v>
      </c>
      <c r="F48" s="244">
        <f t="shared" si="10"/>
        <v>-31.952575757575758</v>
      </c>
      <c r="G48" s="54">
        <f t="shared" si="11"/>
        <v>17</v>
      </c>
      <c r="H48" s="639">
        <v>1.6187500000000004</v>
      </c>
      <c r="I48" s="640">
        <v>2</v>
      </c>
      <c r="J48" s="234">
        <f t="shared" si="7"/>
        <v>0</v>
      </c>
      <c r="K48" s="235"/>
      <c r="L48" s="235">
        <f>INDEX(Table!M:M,MATCH(E48,Table!F:F,0))</f>
        <v>0</v>
      </c>
      <c r="M48" s="234">
        <f t="shared" si="8"/>
        <v>0</v>
      </c>
      <c r="N48" s="236">
        <v>-7</v>
      </c>
      <c r="O48" s="237">
        <v>0</v>
      </c>
      <c r="P48" s="238"/>
      <c r="Q48" s="239">
        <v>-3.4</v>
      </c>
      <c r="R48" s="240">
        <v>1</v>
      </c>
      <c r="S48" s="241"/>
      <c r="T48" s="236">
        <v>6.7200000000000024</v>
      </c>
      <c r="U48" s="242">
        <v>2</v>
      </c>
      <c r="V48" s="238"/>
      <c r="W48" s="239">
        <v>-3.8</v>
      </c>
      <c r="X48" s="240">
        <v>1</v>
      </c>
      <c r="Y48" s="241"/>
      <c r="Z48" s="236">
        <v>4.375</v>
      </c>
      <c r="AA48" s="242">
        <v>2</v>
      </c>
      <c r="AB48" s="238"/>
      <c r="AC48" s="239">
        <v>-5.45</v>
      </c>
      <c r="AD48" s="240">
        <v>1</v>
      </c>
      <c r="AE48" s="241"/>
      <c r="AF48" s="236">
        <v>-7</v>
      </c>
      <c r="AG48" s="242">
        <v>0</v>
      </c>
      <c r="AH48" s="238"/>
      <c r="AI48" s="239">
        <v>-7</v>
      </c>
      <c r="AJ48" s="240">
        <v>0</v>
      </c>
      <c r="AK48" s="241"/>
      <c r="AL48" s="236">
        <v>-5.0909090909090908</v>
      </c>
      <c r="AM48" s="242">
        <v>1</v>
      </c>
      <c r="AN48" s="238"/>
      <c r="AO48" s="239">
        <v>-7</v>
      </c>
      <c r="AP48" s="240">
        <v>0</v>
      </c>
      <c r="AQ48" s="241"/>
      <c r="AR48" s="236">
        <v>2.3312500000000007</v>
      </c>
      <c r="AS48" s="242">
        <v>2</v>
      </c>
      <c r="AT48" s="238"/>
      <c r="AU48" s="239">
        <v>-0.53</v>
      </c>
      <c r="AV48" s="240">
        <v>2</v>
      </c>
      <c r="AW48" s="241"/>
      <c r="AX48" s="236">
        <v>0.94</v>
      </c>
      <c r="AY48" s="242">
        <v>2</v>
      </c>
      <c r="AZ48" s="238"/>
      <c r="BA48" s="239">
        <v>-1.6666666666666667</v>
      </c>
      <c r="BB48" s="240">
        <v>1</v>
      </c>
      <c r="BC48" s="241"/>
      <c r="BD48" s="236">
        <v>1.6187500000000004</v>
      </c>
      <c r="BE48" s="242">
        <v>2</v>
      </c>
      <c r="BF48" s="238"/>
      <c r="BG48" s="239"/>
      <c r="BH48" s="243"/>
      <c r="BI48" s="241"/>
      <c r="BJ48" s="236"/>
      <c r="BK48" s="242"/>
      <c r="BL48" s="238"/>
      <c r="BM48" s="239"/>
      <c r="BN48" s="243"/>
      <c r="BO48" s="241"/>
      <c r="BP48" s="236"/>
      <c r="BQ48" s="242"/>
      <c r="BR48" s="238"/>
      <c r="BS48" s="239"/>
      <c r="BT48" s="240"/>
      <c r="BU48" s="241"/>
      <c r="BV48" s="239">
        <f t="shared" si="12"/>
        <v>-31.952575757575755</v>
      </c>
      <c r="BW48" s="240">
        <f t="shared" si="13"/>
        <v>17</v>
      </c>
      <c r="BX48" s="241">
        <f t="shared" si="14"/>
        <v>0</v>
      </c>
      <c r="BY48" s="48"/>
      <c r="DX48" s="49"/>
      <c r="DY48" s="49"/>
      <c r="EF48" s="46"/>
      <c r="EG48" s="46"/>
    </row>
    <row r="49" spans="1:137" ht="12" hidden="1" customHeight="1">
      <c r="A49" s="246">
        <f t="shared" si="9"/>
        <v>12</v>
      </c>
      <c r="B49" s="246">
        <f t="shared" si="1"/>
        <v>9</v>
      </c>
      <c r="C49" s="246">
        <v>6</v>
      </c>
      <c r="D49" s="290" t="str">
        <f>INDEX(Table!E:E,MATCH(E49,Table!F:F,0))</f>
        <v>A</v>
      </c>
      <c r="E49" s="232" t="s">
        <v>274</v>
      </c>
      <c r="F49" s="244">
        <f t="shared" si="10"/>
        <v>0.59698863636364496</v>
      </c>
      <c r="G49" s="54">
        <f t="shared" si="11"/>
        <v>22</v>
      </c>
      <c r="H49" s="639">
        <v>0.83500000000000085</v>
      </c>
      <c r="I49" s="640">
        <v>2</v>
      </c>
      <c r="J49" s="234">
        <f t="shared" si="7"/>
        <v>5</v>
      </c>
      <c r="K49" s="235"/>
      <c r="L49" s="235">
        <f>INDEX(Table!M:M,MATCH(E49,Table!F:F,0))</f>
        <v>12.25</v>
      </c>
      <c r="M49" s="234">
        <f t="shared" si="8"/>
        <v>17.25</v>
      </c>
      <c r="N49" s="236">
        <v>2.9333333333333336</v>
      </c>
      <c r="O49" s="237">
        <v>2</v>
      </c>
      <c r="P49" s="238"/>
      <c r="Q49" s="239">
        <v>-4.5999999999999996</v>
      </c>
      <c r="R49" s="240">
        <v>1</v>
      </c>
      <c r="S49" s="241"/>
      <c r="T49" s="236">
        <v>0.64000000000000057</v>
      </c>
      <c r="U49" s="242">
        <v>2</v>
      </c>
      <c r="V49" s="238"/>
      <c r="W49" s="239">
        <v>3.5200000000000014</v>
      </c>
      <c r="X49" s="240">
        <v>2</v>
      </c>
      <c r="Y49" s="241"/>
      <c r="Z49" s="236">
        <v>0.29090909090909101</v>
      </c>
      <c r="AA49" s="242">
        <v>2</v>
      </c>
      <c r="AB49" s="238"/>
      <c r="AC49" s="239">
        <v>-7</v>
      </c>
      <c r="AD49" s="240">
        <v>0</v>
      </c>
      <c r="AE49" s="241"/>
      <c r="AF49" s="236">
        <v>-5.15</v>
      </c>
      <c r="AG49" s="242">
        <v>1</v>
      </c>
      <c r="AH49" s="238"/>
      <c r="AI49" s="239">
        <v>0.1454545454545455</v>
      </c>
      <c r="AJ49" s="240">
        <v>2</v>
      </c>
      <c r="AK49" s="241"/>
      <c r="AL49" s="236">
        <v>-7</v>
      </c>
      <c r="AM49" s="242">
        <v>0</v>
      </c>
      <c r="AN49" s="238"/>
      <c r="AO49" s="239">
        <v>27.682291666666671</v>
      </c>
      <c r="AP49" s="240">
        <v>3</v>
      </c>
      <c r="AQ49" s="241">
        <v>5</v>
      </c>
      <c r="AR49" s="236">
        <v>2.3500000000000014</v>
      </c>
      <c r="AS49" s="242">
        <v>2</v>
      </c>
      <c r="AT49" s="238"/>
      <c r="AU49" s="239">
        <v>-4.25</v>
      </c>
      <c r="AV49" s="240">
        <v>1</v>
      </c>
      <c r="AW49" s="241"/>
      <c r="AX49" s="236">
        <v>-4.8</v>
      </c>
      <c r="AY49" s="242">
        <v>1</v>
      </c>
      <c r="AZ49" s="238"/>
      <c r="BA49" s="239">
        <v>-5</v>
      </c>
      <c r="BB49" s="240">
        <v>1</v>
      </c>
      <c r="BC49" s="241"/>
      <c r="BD49" s="236">
        <v>0.83500000000000085</v>
      </c>
      <c r="BE49" s="242">
        <v>2</v>
      </c>
      <c r="BF49" s="238"/>
      <c r="BG49" s="239"/>
      <c r="BH49" s="243"/>
      <c r="BI49" s="241"/>
      <c r="BJ49" s="236"/>
      <c r="BK49" s="242"/>
      <c r="BL49" s="238"/>
      <c r="BM49" s="239"/>
      <c r="BN49" s="243"/>
      <c r="BO49" s="241"/>
      <c r="BP49" s="236"/>
      <c r="BQ49" s="242"/>
      <c r="BR49" s="238"/>
      <c r="BS49" s="239"/>
      <c r="BT49" s="240"/>
      <c r="BU49" s="241"/>
      <c r="BV49" s="239">
        <f t="shared" si="12"/>
        <v>0.59698863636364408</v>
      </c>
      <c r="BW49" s="240">
        <f t="shared" si="13"/>
        <v>22</v>
      </c>
      <c r="BX49" s="241">
        <f t="shared" si="14"/>
        <v>5</v>
      </c>
      <c r="BY49" s="48"/>
      <c r="DX49" s="49"/>
      <c r="DY49" s="49"/>
      <c r="EF49" s="46"/>
      <c r="EG49" s="46"/>
    </row>
    <row r="50" spans="1:137" hidden="1">
      <c r="A50" s="246">
        <f t="shared" si="9"/>
        <v>13</v>
      </c>
      <c r="B50" s="246">
        <f t="shared" si="1"/>
        <v>27</v>
      </c>
      <c r="C50" s="246">
        <v>34</v>
      </c>
      <c r="D50" s="290" t="str">
        <f>INDEX(Table!E:E,MATCH(E50,Table!F:F,0))</f>
        <v>C</v>
      </c>
      <c r="E50" s="232" t="s">
        <v>314</v>
      </c>
      <c r="F50" s="244">
        <f t="shared" si="10"/>
        <v>-4.710988095238096</v>
      </c>
      <c r="G50" s="54">
        <f t="shared" si="11"/>
        <v>18</v>
      </c>
      <c r="H50" s="639">
        <v>-5</v>
      </c>
      <c r="I50" s="640">
        <v>1</v>
      </c>
      <c r="J50" s="234">
        <f t="shared" si="7"/>
        <v>15</v>
      </c>
      <c r="K50" s="235"/>
      <c r="L50" s="235">
        <f>INDEX(Table!M:M,MATCH(E50,Table!F:F,0))</f>
        <v>3.6749999999999998</v>
      </c>
      <c r="M50" s="234">
        <f t="shared" si="8"/>
        <v>18.675000000000001</v>
      </c>
      <c r="N50" s="236">
        <v>-7</v>
      </c>
      <c r="O50" s="237">
        <v>0</v>
      </c>
      <c r="P50" s="238"/>
      <c r="Q50" s="239">
        <v>6.625</v>
      </c>
      <c r="R50" s="240">
        <v>2</v>
      </c>
      <c r="S50" s="241">
        <v>5</v>
      </c>
      <c r="T50" s="236">
        <v>30.088000000000001</v>
      </c>
      <c r="U50" s="242">
        <v>3</v>
      </c>
      <c r="V50" s="238">
        <v>10</v>
      </c>
      <c r="W50" s="239">
        <v>-4.5</v>
      </c>
      <c r="X50" s="240">
        <v>1</v>
      </c>
      <c r="Y50" s="241"/>
      <c r="Z50" s="236">
        <v>-5.4285714285714288</v>
      </c>
      <c r="AA50" s="242">
        <v>1</v>
      </c>
      <c r="AB50" s="238"/>
      <c r="AC50" s="239">
        <v>6.625</v>
      </c>
      <c r="AD50" s="240">
        <v>2</v>
      </c>
      <c r="AE50" s="241"/>
      <c r="AF50" s="236">
        <v>-7</v>
      </c>
      <c r="AG50" s="242">
        <v>0</v>
      </c>
      <c r="AH50" s="238"/>
      <c r="AI50" s="239">
        <v>-7</v>
      </c>
      <c r="AJ50" s="240">
        <v>0</v>
      </c>
      <c r="AK50" s="241"/>
      <c r="AL50" s="236">
        <v>-7</v>
      </c>
      <c r="AM50" s="242">
        <v>0</v>
      </c>
      <c r="AN50" s="238"/>
      <c r="AO50" s="239">
        <v>4.5062500000000014</v>
      </c>
      <c r="AP50" s="240">
        <v>2</v>
      </c>
      <c r="AQ50" s="241"/>
      <c r="AR50" s="236">
        <v>-5.2</v>
      </c>
      <c r="AS50" s="242">
        <v>1</v>
      </c>
      <c r="AT50" s="238"/>
      <c r="AU50" s="239">
        <v>-5.4666666666666668</v>
      </c>
      <c r="AV50" s="240">
        <v>1</v>
      </c>
      <c r="AW50" s="241"/>
      <c r="AX50" s="236">
        <v>0.53999999999999915</v>
      </c>
      <c r="AY50" s="242">
        <v>2</v>
      </c>
      <c r="AZ50" s="238"/>
      <c r="BA50" s="239">
        <v>0.5</v>
      </c>
      <c r="BB50" s="240">
        <v>2</v>
      </c>
      <c r="BC50" s="241"/>
      <c r="BD50" s="236">
        <v>-5</v>
      </c>
      <c r="BE50" s="242">
        <v>1</v>
      </c>
      <c r="BF50" s="238"/>
      <c r="BG50" s="239"/>
      <c r="BH50" s="243"/>
      <c r="BI50" s="241"/>
      <c r="BJ50" s="236"/>
      <c r="BK50" s="242"/>
      <c r="BL50" s="238"/>
      <c r="BM50" s="239"/>
      <c r="BN50" s="243"/>
      <c r="BO50" s="241"/>
      <c r="BP50" s="236"/>
      <c r="BQ50" s="242"/>
      <c r="BR50" s="238"/>
      <c r="BS50" s="239"/>
      <c r="BT50" s="240"/>
      <c r="BU50" s="241"/>
      <c r="BV50" s="239">
        <f t="shared" si="12"/>
        <v>-4.7109880952380934</v>
      </c>
      <c r="BW50" s="240">
        <f t="shared" si="13"/>
        <v>18</v>
      </c>
      <c r="BX50" s="241">
        <f t="shared" si="14"/>
        <v>15</v>
      </c>
      <c r="BY50" s="48"/>
      <c r="DX50" s="49"/>
      <c r="DY50" s="49"/>
      <c r="EF50" s="46"/>
      <c r="EG50" s="46"/>
    </row>
    <row r="51" spans="1:137" hidden="1">
      <c r="A51" s="246">
        <f t="shared" si="9"/>
        <v>16</v>
      </c>
      <c r="B51" s="246">
        <f t="shared" si="1"/>
        <v>31</v>
      </c>
      <c r="C51" s="246">
        <v>34</v>
      </c>
      <c r="D51" s="290" t="str">
        <f>INDEX(Table!E:E,MATCH(E51,Table!F:F,0))</f>
        <v>C</v>
      </c>
      <c r="E51" s="232" t="s">
        <v>291</v>
      </c>
      <c r="F51" s="244">
        <f t="shared" si="10"/>
        <v>-12.740821678321671</v>
      </c>
      <c r="G51" s="54">
        <f t="shared" si="11"/>
        <v>19</v>
      </c>
      <c r="H51" s="639">
        <v>-5.15</v>
      </c>
      <c r="I51" s="640">
        <v>1</v>
      </c>
      <c r="J51" s="234">
        <f t="shared" si="7"/>
        <v>10</v>
      </c>
      <c r="K51" s="235"/>
      <c r="L51" s="235">
        <f>INDEX(Table!M:M,MATCH(E51,Table!F:F,0))</f>
        <v>1.575</v>
      </c>
      <c r="M51" s="234">
        <f t="shared" si="8"/>
        <v>11.574999999999999</v>
      </c>
      <c r="N51" s="236">
        <v>-7</v>
      </c>
      <c r="O51" s="237">
        <v>0</v>
      </c>
      <c r="P51" s="238"/>
      <c r="Q51" s="239">
        <v>-0.72727272727272663</v>
      </c>
      <c r="R51" s="240">
        <v>2</v>
      </c>
      <c r="S51" s="241"/>
      <c r="T51" s="236">
        <v>1.8325000000000014</v>
      </c>
      <c r="U51" s="242">
        <v>2</v>
      </c>
      <c r="V51" s="238"/>
      <c r="W51" s="239">
        <v>-7</v>
      </c>
      <c r="X51" s="240">
        <v>0</v>
      </c>
      <c r="Y51" s="241"/>
      <c r="Z51" s="236">
        <v>-7</v>
      </c>
      <c r="AA51" s="242">
        <v>0</v>
      </c>
      <c r="AB51" s="238"/>
      <c r="AC51" s="239">
        <v>-7</v>
      </c>
      <c r="AD51" s="240">
        <v>0</v>
      </c>
      <c r="AE51" s="241"/>
      <c r="AF51" s="236">
        <v>2.5625</v>
      </c>
      <c r="AG51" s="242">
        <v>2</v>
      </c>
      <c r="AH51" s="238"/>
      <c r="AI51" s="239">
        <v>1.4050000000000011</v>
      </c>
      <c r="AJ51" s="240">
        <v>2</v>
      </c>
      <c r="AK51" s="241"/>
      <c r="AL51" s="236">
        <v>-5.0909090909090908</v>
      </c>
      <c r="AM51" s="242">
        <v>1</v>
      </c>
      <c r="AN51" s="238"/>
      <c r="AO51" s="239">
        <v>3.2375000000000007</v>
      </c>
      <c r="AP51" s="240">
        <v>2</v>
      </c>
      <c r="AQ51" s="241"/>
      <c r="AR51" s="236">
        <v>-5.0909090909090908</v>
      </c>
      <c r="AS51" s="242">
        <v>1</v>
      </c>
      <c r="AT51" s="238"/>
      <c r="AU51" s="239">
        <v>21.96153846153846</v>
      </c>
      <c r="AV51" s="240">
        <v>3</v>
      </c>
      <c r="AW51" s="241">
        <v>5</v>
      </c>
      <c r="AX51" s="236">
        <v>-5.2</v>
      </c>
      <c r="AY51" s="242">
        <v>1</v>
      </c>
      <c r="AZ51" s="238"/>
      <c r="BA51" s="239">
        <v>5.5192307692307701</v>
      </c>
      <c r="BB51" s="240">
        <v>2</v>
      </c>
      <c r="BC51" s="241">
        <v>5</v>
      </c>
      <c r="BD51" s="236">
        <v>-5.15</v>
      </c>
      <c r="BE51" s="242">
        <v>1</v>
      </c>
      <c r="BF51" s="238"/>
      <c r="BG51" s="239"/>
      <c r="BH51" s="243"/>
      <c r="BI51" s="241"/>
      <c r="BJ51" s="236"/>
      <c r="BK51" s="242"/>
      <c r="BL51" s="238"/>
      <c r="BM51" s="239"/>
      <c r="BN51" s="243"/>
      <c r="BO51" s="241"/>
      <c r="BP51" s="236"/>
      <c r="BQ51" s="242"/>
      <c r="BR51" s="238"/>
      <c r="BS51" s="239"/>
      <c r="BT51" s="240"/>
      <c r="BU51" s="241"/>
      <c r="BV51" s="239">
        <f t="shared" si="12"/>
        <v>-12.740821678321675</v>
      </c>
      <c r="BW51" s="240">
        <f t="shared" si="13"/>
        <v>19</v>
      </c>
      <c r="BX51" s="241">
        <f t="shared" si="14"/>
        <v>10</v>
      </c>
      <c r="BY51" s="48"/>
      <c r="DX51" s="49"/>
      <c r="DY51" s="49"/>
      <c r="EF51" s="46"/>
      <c r="EG51" s="46"/>
    </row>
    <row r="52" spans="1:137" hidden="1">
      <c r="BY52" s="48"/>
      <c r="DX52" s="49"/>
      <c r="DY52" s="49"/>
      <c r="EF52" s="46"/>
      <c r="EG52" s="46"/>
    </row>
    <row r="53" spans="1:137">
      <c r="BY53" s="48"/>
      <c r="DX53" s="49"/>
      <c r="DY53" s="49"/>
      <c r="EF53" s="46"/>
      <c r="EG53" s="46"/>
    </row>
    <row r="54" spans="1:137">
      <c r="A54" s="46"/>
      <c r="B54" s="46"/>
      <c r="C54" s="46"/>
      <c r="D54" s="46"/>
      <c r="E54" s="495"/>
      <c r="F54" s="496"/>
      <c r="G54" s="46"/>
      <c r="H54" s="496"/>
      <c r="I54" s="497"/>
      <c r="J54" s="498">
        <f>SUM(J2:J51)</f>
        <v>375</v>
      </c>
      <c r="K54" s="498">
        <f>SUM(K2:K51)</f>
        <v>0</v>
      </c>
      <c r="L54" s="498"/>
      <c r="M54" s="498"/>
      <c r="N54" s="498"/>
      <c r="O54" s="498"/>
      <c r="P54" s="498">
        <f>SUM(P2:P51)</f>
        <v>25</v>
      </c>
      <c r="Q54" s="496"/>
      <c r="R54" s="498"/>
      <c r="S54" s="498">
        <f>SUM(S2:S51)</f>
        <v>25</v>
      </c>
      <c r="T54" s="498"/>
      <c r="U54" s="498"/>
      <c r="V54" s="498">
        <f>SUM(V2:V51)</f>
        <v>25</v>
      </c>
      <c r="W54" s="496"/>
      <c r="X54" s="498"/>
      <c r="Y54" s="498">
        <f>SUM(Y2:Y51)</f>
        <v>25</v>
      </c>
      <c r="Z54" s="498"/>
      <c r="AA54" s="498"/>
      <c r="AB54" s="498">
        <f>SUM(AB2:AB51)</f>
        <v>25</v>
      </c>
      <c r="AC54" s="498"/>
      <c r="AD54" s="498"/>
      <c r="AE54" s="498">
        <f>SUM(AE2:AE51)</f>
        <v>25</v>
      </c>
      <c r="AF54" s="498"/>
      <c r="AG54" s="498"/>
      <c r="AH54" s="498">
        <f>SUM(AH2:AH51)</f>
        <v>25</v>
      </c>
      <c r="AI54" s="498"/>
      <c r="AJ54" s="498"/>
      <c r="AK54" s="498">
        <f>SUM(AK2:AK51)</f>
        <v>25</v>
      </c>
      <c r="AL54" s="498"/>
      <c r="AM54" s="498"/>
      <c r="AN54" s="498">
        <f>SUM(AN2:AN51)</f>
        <v>25</v>
      </c>
      <c r="AO54" s="498"/>
      <c r="AP54" s="498"/>
      <c r="AQ54" s="498">
        <f>SUM(AQ2:AQ51)</f>
        <v>25</v>
      </c>
      <c r="AR54" s="498"/>
      <c r="AS54" s="498"/>
      <c r="AT54" s="498">
        <f>SUM(AT2:AT51)</f>
        <v>25</v>
      </c>
      <c r="AU54" s="498"/>
      <c r="AV54" s="498"/>
      <c r="AW54" s="498">
        <f>SUM(AW2:AW51)</f>
        <v>25</v>
      </c>
      <c r="AX54" s="498"/>
      <c r="AY54" s="498"/>
      <c r="AZ54" s="498">
        <f>SUM(AZ2:AZ51)</f>
        <v>25</v>
      </c>
      <c r="BA54" s="498"/>
      <c r="BB54" s="498"/>
      <c r="BC54" s="498">
        <f>SUM(BC2:BC51)</f>
        <v>25</v>
      </c>
      <c r="BD54" s="498"/>
      <c r="BE54" s="498"/>
      <c r="BF54" s="498">
        <f>SUM(BF2:BF51)</f>
        <v>25</v>
      </c>
      <c r="BG54" s="498"/>
      <c r="BH54" s="498"/>
      <c r="BI54" s="498">
        <f>SUM(BI2:BI51)</f>
        <v>0</v>
      </c>
      <c r="BJ54" s="498"/>
      <c r="BK54" s="498"/>
      <c r="BL54" s="498">
        <f>SUM(BL2:BL51)</f>
        <v>0</v>
      </c>
      <c r="BM54" s="498"/>
      <c r="BN54" s="498"/>
      <c r="BO54" s="498">
        <f>SUM(BO2:BO51)</f>
        <v>0</v>
      </c>
      <c r="BP54" s="498"/>
      <c r="BQ54" s="498"/>
      <c r="BR54" s="498">
        <f>SUM(BR2:BR51)</f>
        <v>0</v>
      </c>
      <c r="BS54" s="498"/>
      <c r="BT54" s="498"/>
      <c r="BU54" s="498">
        <f>SUM(BU2:BU51)</f>
        <v>0</v>
      </c>
      <c r="BV54" s="498"/>
      <c r="BW54" s="498"/>
      <c r="BX54" s="498">
        <f>SUM(BX2:BX51)</f>
        <v>375</v>
      </c>
      <c r="BY54" s="48"/>
      <c r="DX54" s="49"/>
      <c r="DY54" s="49"/>
      <c r="EF54" s="46"/>
      <c r="EG54" s="46"/>
    </row>
    <row r="55" spans="1:137">
      <c r="BY55" s="48"/>
      <c r="DX55" s="49"/>
      <c r="DY55" s="49"/>
      <c r="EF55" s="46"/>
      <c r="EG55" s="46"/>
    </row>
    <row r="56" spans="1:137">
      <c r="BY56" s="48"/>
      <c r="DX56" s="49"/>
      <c r="DY56" s="49"/>
      <c r="EF56" s="46"/>
      <c r="EG56" s="46"/>
    </row>
    <row r="57" spans="1:137">
      <c r="BY57" s="48"/>
      <c r="DX57" s="49"/>
      <c r="DY57" s="49"/>
      <c r="EF57" s="46"/>
      <c r="EG57" s="46"/>
    </row>
    <row r="58" spans="1:137">
      <c r="DX58" s="49"/>
      <c r="DY58" s="49"/>
      <c r="EF58" s="46"/>
      <c r="EG58" s="46"/>
    </row>
    <row r="59" spans="1:137">
      <c r="DX59" s="49"/>
      <c r="DY59" s="49"/>
      <c r="EF59" s="46"/>
      <c r="EG59" s="46"/>
    </row>
    <row r="60" spans="1:137">
      <c r="DX60" s="49"/>
      <c r="DY60" s="49"/>
      <c r="EF60" s="46"/>
      <c r="EG60" s="46"/>
    </row>
    <row r="61" spans="1:137">
      <c r="DX61" s="49"/>
      <c r="DY61" s="49"/>
      <c r="EF61" s="46"/>
      <c r="EG61" s="46"/>
    </row>
    <row r="62" spans="1:137">
      <c r="DX62" s="49"/>
      <c r="DY62" s="49"/>
      <c r="EF62" s="46"/>
      <c r="EG62" s="46"/>
    </row>
    <row r="63" spans="1:137">
      <c r="BY63" s="49"/>
      <c r="BZ63" s="49"/>
      <c r="CA63" s="49"/>
      <c r="CB63" s="49"/>
      <c r="CC63" s="49"/>
      <c r="CD63" s="49"/>
      <c r="CE63" s="49"/>
      <c r="CF63" s="49"/>
      <c r="CG63" s="49"/>
      <c r="CH63" s="49"/>
      <c r="CI63" s="49"/>
      <c r="CJ63" s="49"/>
      <c r="CK63" s="49"/>
      <c r="CL63" s="49"/>
      <c r="CM63" s="49"/>
      <c r="CN63" s="49"/>
      <c r="CO63" s="49"/>
      <c r="CP63" s="49"/>
      <c r="CQ63" s="49"/>
      <c r="CR63" s="49"/>
      <c r="CS63" s="49"/>
      <c r="CT63" s="49"/>
      <c r="CU63" s="49"/>
      <c r="CV63" s="49"/>
      <c r="CW63" s="49"/>
      <c r="CX63" s="49"/>
      <c r="CY63" s="49"/>
      <c r="CZ63" s="49"/>
      <c r="DA63" s="49"/>
      <c r="DB63" s="49"/>
      <c r="DC63" s="49"/>
      <c r="DD63" s="49"/>
      <c r="DE63" s="49"/>
      <c r="DF63" s="49"/>
      <c r="DG63" s="49"/>
      <c r="DH63" s="49"/>
      <c r="DI63" s="49"/>
      <c r="DJ63" s="49"/>
      <c r="DK63" s="49"/>
      <c r="DL63" s="49"/>
      <c r="DM63" s="49"/>
      <c r="DN63" s="49"/>
      <c r="DO63" s="49"/>
      <c r="DP63" s="49"/>
      <c r="DQ63" s="49"/>
      <c r="DR63" s="49"/>
      <c r="DS63" s="49"/>
      <c r="DT63" s="49"/>
      <c r="DU63" s="49"/>
      <c r="DV63" s="49"/>
      <c r="DW63" s="49"/>
      <c r="DX63" s="49"/>
      <c r="DY63" s="49"/>
      <c r="EF63" s="46"/>
      <c r="EG63" s="46"/>
    </row>
    <row r="64" spans="1:137">
      <c r="DX64" s="49"/>
      <c r="DY64" s="49"/>
      <c r="EF64" s="46"/>
      <c r="EG64" s="46"/>
    </row>
    <row r="65" spans="128:137">
      <c r="DX65" s="49"/>
      <c r="DY65" s="49"/>
      <c r="EF65" s="46"/>
      <c r="EG65" s="46"/>
    </row>
    <row r="66" spans="128:137">
      <c r="DX66" s="49"/>
      <c r="DY66" s="49"/>
      <c r="EF66" s="46"/>
      <c r="EG66" s="46"/>
    </row>
    <row r="67" spans="128:137">
      <c r="DX67" s="49"/>
      <c r="DY67" s="49"/>
      <c r="EF67" s="46"/>
      <c r="EG67" s="46"/>
    </row>
    <row r="68" spans="128:137">
      <c r="DX68" s="49"/>
      <c r="DY68" s="49"/>
      <c r="EF68" s="46"/>
      <c r="EG68" s="46"/>
    </row>
    <row r="69" spans="128:137">
      <c r="DX69" s="49"/>
      <c r="DY69" s="49"/>
      <c r="EF69" s="46"/>
      <c r="EG69" s="46"/>
    </row>
    <row r="70" spans="128:137">
      <c r="DX70" s="49"/>
      <c r="DY70" s="49"/>
      <c r="EF70" s="46"/>
      <c r="EG70" s="46"/>
    </row>
    <row r="71" spans="128:137">
      <c r="DX71" s="49"/>
      <c r="DY71" s="49"/>
      <c r="EF71" s="46"/>
      <c r="EG71" s="46"/>
    </row>
    <row r="72" spans="128:137">
      <c r="DX72" s="49"/>
      <c r="DY72" s="49"/>
      <c r="EF72" s="46"/>
      <c r="EG72" s="46"/>
    </row>
    <row r="73" spans="128:137">
      <c r="DX73" s="49"/>
      <c r="DY73" s="49"/>
      <c r="EF73" s="46"/>
      <c r="EG73" s="46"/>
    </row>
  </sheetData>
  <autoFilter ref="A1:BX52" xr:uid="{00000000-0009-0000-0000-000002000000}">
    <filterColumn colId="1">
      <filters>
        <filter val="1"/>
        <filter val="2"/>
        <filter val="4"/>
      </filters>
    </filterColumn>
  </autoFilter>
  <phoneticPr fontId="0" type="noConversion"/>
  <conditionalFormatting sqref="J2:M51">
    <cfRule type="cellIs" dxfId="207" priority="5"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zoomScaleNormal="100" workbookViewId="0">
      <selection activeCell="C8" sqref="C8"/>
    </sheetView>
  </sheetViews>
  <sheetFormatPr defaultRowHeight="12.75"/>
  <cols>
    <col min="1" max="1" width="12.73046875" customWidth="1"/>
    <col min="2" max="2" width="14.86328125" customWidth="1"/>
    <col min="3" max="3" width="43.3984375" customWidth="1"/>
    <col min="4" max="4" width="38" customWidth="1"/>
  </cols>
  <sheetData>
    <row r="1" spans="1:6" s="134" customFormat="1" ht="24.95" customHeight="1">
      <c r="A1" s="619" t="str">
        <f>CurrentSeason</f>
        <v>PL43</v>
      </c>
      <c r="B1" s="619" t="str">
        <f>"Fixtures &amp; odds for Round "&amp;CurrentWeek</f>
        <v>Fixtures &amp; odds for Round 15</v>
      </c>
      <c r="C1" s="619"/>
      <c r="D1" s="113" t="s">
        <v>157</v>
      </c>
    </row>
    <row r="2" spans="1:6">
      <c r="A2" s="90">
        <f>IF(Match!B2="","",Match!B2)</f>
        <v>45380</v>
      </c>
      <c r="B2" s="59" t="str">
        <f>IF(Match!D2="","",Match!D2)</f>
        <v>Champ</v>
      </c>
      <c r="C2" s="59" t="str">
        <f>IF(Match!U2="","",Match!U2)</f>
        <v>Blackburn  v  Ipswich   14/5  27/10  17/20</v>
      </c>
      <c r="D2" s="58" t="str">
        <f>IF(Match!V2="","",Match!V2)</f>
        <v xml:space="preserve">Blackburn 0-1 Ipswich </v>
      </c>
    </row>
    <row r="3" spans="1:6">
      <c r="A3" s="90">
        <f>IF(Match!B3="","",Match!B3)</f>
        <v>45380</v>
      </c>
      <c r="B3" s="59" t="str">
        <f>IF(Match!D3="","",Match!D3)</f>
        <v>Champ</v>
      </c>
      <c r="C3" s="59" t="str">
        <f>IF(Match!U3="","",Match!U3)</f>
        <v>Bristol C  v  Leicester   17/5  5/2  4/5</v>
      </c>
      <c r="D3" s="58" t="str">
        <f>IF(Match!V3="","",Match!V3)</f>
        <v xml:space="preserve">Bristol C 1-0 Leicester </v>
      </c>
    </row>
    <row r="4" spans="1:6">
      <c r="A4" s="90">
        <f>IF(Match!B4="","",Match!B4)</f>
        <v>45380</v>
      </c>
      <c r="B4" s="59" t="str">
        <f>IF(Match!D4="","",Match!D4)</f>
        <v>Champ</v>
      </c>
      <c r="C4" s="59" t="str">
        <f>IF(Match!U4="","",Match!U4)</f>
        <v>Cardiff  v  Sunderland   8/5  21/10  7/4</v>
      </c>
      <c r="D4" s="58" t="str">
        <f>IF(Match!V4="","",Match!V4)</f>
        <v xml:space="preserve">Cardiff 0-2 Sunderland </v>
      </c>
    </row>
    <row r="5" spans="1:6">
      <c r="A5" s="90">
        <f>IF(Match!B5="","",Match!B5)</f>
        <v>45380</v>
      </c>
      <c r="B5" s="59" t="str">
        <f>IF(Match!D5="","",Match!D5)</f>
        <v>Champ</v>
      </c>
      <c r="C5" s="59" t="str">
        <f>IF(Match!U5="","",Match!U5)</f>
        <v>Huddersfield  v  Coventry   19/10  23/10  11/8</v>
      </c>
      <c r="D5" s="58" t="str">
        <f>IF(Match!V5="","",Match!V5)</f>
        <v xml:space="preserve">Huddersfield 1-3 Coventry </v>
      </c>
    </row>
    <row r="6" spans="1:6">
      <c r="A6" s="90">
        <f>IF(Match!B6="","",Match!B6)</f>
        <v>45380</v>
      </c>
      <c r="B6" s="59" t="str">
        <f>IF(Match!D6="","",Match!D6)</f>
        <v>Champ</v>
      </c>
      <c r="C6" s="59" t="str">
        <f>IF(Match!U6="","",Match!U6)</f>
        <v>Hull  v  Stoke   10/11  12/5  29/10</v>
      </c>
      <c r="D6" s="58" t="str">
        <f>IF(Match!V6="","",Match!V6)</f>
        <v xml:space="preserve">Hull 0-2 Stoke </v>
      </c>
    </row>
    <row r="7" spans="1:6">
      <c r="A7" s="90">
        <f>IF(Match!B7="","",Match!B7)</f>
        <v>45380</v>
      </c>
      <c r="B7" s="59" t="str">
        <f>IF(Match!D7="","",Match!D7)</f>
        <v>Champ</v>
      </c>
      <c r="C7" s="59" t="str">
        <f>IF(Match!U7="","",Match!U7)</f>
        <v>Millwall  v  West Brom   11/5  2/1  11/8</v>
      </c>
      <c r="D7" s="58" t="str">
        <f>IF(Match!V7="","",Match!V7)</f>
        <v xml:space="preserve">Millwall 1-1 West Brom </v>
      </c>
    </row>
    <row r="8" spans="1:6">
      <c r="A8" s="90">
        <f>IF(Match!B8="","",Match!B8)</f>
        <v>45380</v>
      </c>
      <c r="B8" s="59" t="str">
        <f>IF(Match!D8="","",Match!D8)</f>
        <v>Champ</v>
      </c>
      <c r="C8" s="59" t="str">
        <f>IF(Match!U8="","",Match!U8)</f>
        <v>Norwich  v  Plymouth   1/2  10/3  5/1</v>
      </c>
      <c r="D8" s="58" t="str">
        <f>IF(Match!V8="","",Match!V8)</f>
        <v xml:space="preserve">Norwich 2-1 Plymouth </v>
      </c>
      <c r="F8" s="8"/>
    </row>
    <row r="9" spans="1:6">
      <c r="A9" s="90">
        <f>IF(Match!B9="","",Match!B9)</f>
        <v>45380</v>
      </c>
      <c r="B9" s="59" t="str">
        <f>IF(Match!D9="","",Match!D9)</f>
        <v>Champ</v>
      </c>
      <c r="C9" s="59" t="str">
        <f>IF(Match!U9="","",Match!U9)</f>
        <v>Preston  v  Rotherham   8/15  29/10  11/2</v>
      </c>
      <c r="D9" s="58" t="str">
        <f>IF(Match!V9="","",Match!V9)</f>
        <v xml:space="preserve">Preston 3-0 Rotherham </v>
      </c>
      <c r="F9" s="8"/>
    </row>
    <row r="10" spans="1:6">
      <c r="A10" s="90">
        <f>IF(Match!B10="","",Match!B10)</f>
        <v>45380</v>
      </c>
      <c r="B10" s="59" t="str">
        <f>IF(Match!D10="","",Match!D10)</f>
        <v>Champ</v>
      </c>
      <c r="C10" s="59" t="str">
        <f>IF(Match!U10="","",Match!U10)</f>
        <v>QPR  v  Birmingham   1/1  9/4  11/4</v>
      </c>
      <c r="D10" s="58" t="str">
        <f>IF(Match!V10="","",Match!V10)</f>
        <v xml:space="preserve">QPR 2-1 Birmingham </v>
      </c>
    </row>
    <row r="11" spans="1:6">
      <c r="A11" s="90">
        <f>IF(Match!B11="","",Match!B11)</f>
        <v>45380</v>
      </c>
      <c r="B11" s="59" t="str">
        <f>IF(Match!D11="","",Match!D11)</f>
        <v>Champ</v>
      </c>
      <c r="C11" s="59" t="str">
        <f>IF(Match!U11="","",Match!U11)</f>
        <v>Sheff W  v  Swansea   29/20  9/4  9/5</v>
      </c>
      <c r="D11" s="58" t="str">
        <f>IF(Match!V11="","",Match!V11)</f>
        <v xml:space="preserve">Sheff W 1-1 Swansea </v>
      </c>
    </row>
    <row r="12" spans="1:6">
      <c r="A12" s="90">
        <f>IF(Match!B12="","",Match!B12)</f>
        <v>45380</v>
      </c>
      <c r="B12" s="59" t="str">
        <f>IF(Match!D12="","",Match!D12)</f>
        <v>Champ</v>
      </c>
      <c r="C12" s="59" t="str">
        <f>IF(Match!U12="","",Match!U12)</f>
        <v>Southampton  v  Middlesbro   6/10  16/5  4/1</v>
      </c>
      <c r="D12" s="58" t="str">
        <f>IF(Match!V12="","",Match!V12)</f>
        <v xml:space="preserve">Southampton 1-1 Middlesbro </v>
      </c>
    </row>
    <row r="13" spans="1:6">
      <c r="A13" s="90">
        <f>IF(Match!B13="","",Match!B13)</f>
        <v>45380</v>
      </c>
      <c r="B13" s="59" t="str">
        <f>IF(Match!D13="","",Match!D13)</f>
        <v>Champ</v>
      </c>
      <c r="C13" s="59" t="str">
        <f>IF(Match!U13="","",Match!U13)</f>
        <v>Watford  v  Leeds   4/1  29/10  8/13</v>
      </c>
      <c r="D13" s="58" t="str">
        <f>IF(Match!V13="","",Match!V13)</f>
        <v xml:space="preserve">Watford 2-2 Leeds </v>
      </c>
    </row>
    <row r="14" spans="1:6">
      <c r="A14" s="90">
        <f>IF(Match!B14="","",Match!B14)</f>
        <v>45380</v>
      </c>
      <c r="B14" s="59" t="str">
        <f>IF(Match!D14="","",Match!D14)</f>
        <v>League 1</v>
      </c>
      <c r="C14" s="59" t="str">
        <f>IF(Match!U14="","",Match!U14)</f>
        <v>Barnsley  v  Cambridge   8/15  16/5  24/5</v>
      </c>
      <c r="D14" s="58" t="str">
        <f>IF(Match!V14="","",Match!V14)</f>
        <v xml:space="preserve">Barnsley 0-2 Cambridge </v>
      </c>
    </row>
    <row r="15" spans="1:6">
      <c r="A15" s="90">
        <f>IF(Match!B15="","",Match!B15)</f>
        <v>45380</v>
      </c>
      <c r="B15" s="59" t="str">
        <f>IF(Match!D15="","",Match!D15)</f>
        <v>League 1</v>
      </c>
      <c r="C15" s="59" t="str">
        <f>IF(Match!U15="","",Match!U15)</f>
        <v>Derby  v  Blackpool   17/20  13/5  3/1</v>
      </c>
      <c r="D15" s="58" t="str">
        <f>IF(Match!V15="","",Match!V15)</f>
        <v xml:space="preserve">Derby 1-0 Blackpool </v>
      </c>
    </row>
    <row r="16" spans="1:6">
      <c r="A16" s="90">
        <f>IF(Match!B16="","",Match!B16)</f>
        <v>45380</v>
      </c>
      <c r="B16" s="59" t="str">
        <f>IF(Match!D16="","",Match!D16)</f>
        <v>League 1</v>
      </c>
      <c r="C16" s="59" t="str">
        <f>IF(Match!U16="","",Match!U16)</f>
        <v>Exeter  v  Charlton   8/5  12/5  8/5</v>
      </c>
      <c r="D16" s="58" t="str">
        <f>IF(Match!V16="","",Match!V16)</f>
        <v xml:space="preserve">Exeter 1-1 Charlton </v>
      </c>
      <c r="F16" s="8"/>
    </row>
    <row r="17" spans="1:6">
      <c r="A17" s="90">
        <f>IF(Match!B17="","",Match!B17)</f>
        <v>45380</v>
      </c>
      <c r="B17" s="59" t="str">
        <f>IF(Match!D17="","",Match!D17)</f>
        <v>League 1</v>
      </c>
      <c r="C17" s="59" t="str">
        <f>IF(Match!U17="","",Match!U17)</f>
        <v>Fleetwood  v  Cheltenham   1/1  5/2  5/2</v>
      </c>
      <c r="D17" s="58" t="str">
        <f>IF(Match!V17="","",Match!V17)</f>
        <v xml:space="preserve">Fleetwood 1-2 Cheltenham </v>
      </c>
    </row>
    <row r="18" spans="1:6">
      <c r="A18" s="90">
        <f>IF(Match!B18="","",Match!B18)</f>
        <v>45380</v>
      </c>
      <c r="B18" s="59" t="str">
        <f>IF(Match!D18="","",Match!D18)</f>
        <v>League 1</v>
      </c>
      <c r="C18" s="59" t="str">
        <f>IF(Match!U18="","",Match!U18)</f>
        <v>Lincoln  v  Orient   1/1  23/10  27/10</v>
      </c>
      <c r="D18" s="58" t="str">
        <f>IF(Match!V18="","",Match!V18)</f>
        <v xml:space="preserve">Lincoln 1-0 Orient </v>
      </c>
    </row>
    <row r="19" spans="1:6">
      <c r="A19" s="90">
        <f>IF(Match!B19="","",Match!B19)</f>
        <v>45380</v>
      </c>
      <c r="B19" s="59" t="str">
        <f>IF(Match!D19="","",Match!D19)</f>
        <v>League 1</v>
      </c>
      <c r="C19" s="59" t="str">
        <f>IF(Match!U19="","",Match!U19)</f>
        <v>Peterborough  v  Carlisle   2/7  9/2  8/1</v>
      </c>
      <c r="D19" s="58" t="str">
        <f>IF(Match!V19="","",Match!V19)</f>
        <v xml:space="preserve">Peterborough 1-3 Carlisle </v>
      </c>
    </row>
    <row r="20" spans="1:6">
      <c r="A20" s="90">
        <f>IF(Match!B20="","",Match!B20)</f>
        <v>45380</v>
      </c>
      <c r="B20" s="59" t="str">
        <f>IF(Match!D20="","",Match!D20)</f>
        <v>League 1</v>
      </c>
      <c r="C20" s="59" t="str">
        <f>IF(Match!U20="","",Match!U20)</f>
        <v>Port Vale  v  Bristol R   8/5  12/5  8/5</v>
      </c>
      <c r="D20" s="58" t="str">
        <f>IF(Match!V20="","",Match!V20)</f>
        <v xml:space="preserve">Port Vale 2-0 Bristol R </v>
      </c>
    </row>
    <row r="21" spans="1:6">
      <c r="A21" s="90">
        <f>IF(Match!B21="","",Match!B21)</f>
        <v>45380</v>
      </c>
      <c r="B21" s="59" t="str">
        <f>IF(Match!D21="","",Match!D21)</f>
        <v>League 1</v>
      </c>
      <c r="C21" s="59" t="str">
        <f>IF(Match!U21="","",Match!U21)</f>
        <v>Reading  v  Northampton   7/10  14/5  7/2</v>
      </c>
      <c r="D21" s="58" t="str">
        <f>IF(Match!V21="","",Match!V21)</f>
        <v xml:space="preserve">Reading 1-0 Northampton </v>
      </c>
    </row>
    <row r="22" spans="1:6">
      <c r="A22" s="90">
        <f>IF(Match!B22="","",Match!B22)</f>
        <v>45380</v>
      </c>
      <c r="B22" s="59" t="str">
        <f>IF(Match!D22="","",Match!D22)</f>
        <v>League 1</v>
      </c>
      <c r="C22" s="59" t="str">
        <f>IF(Match!U22="","",Match!U22)</f>
        <v>Shrewsbury  v  Oxford   27/10  5/2  19/20</v>
      </c>
      <c r="D22" s="58" t="str">
        <f>IF(Match!V22="","",Match!V22)</f>
        <v xml:space="preserve">Shrewsbury 1-1 Oxford </v>
      </c>
    </row>
    <row r="23" spans="1:6">
      <c r="A23" s="90">
        <f>IF(Match!B23="","",Match!B23)</f>
        <v>45380</v>
      </c>
      <c r="B23" s="59" t="str">
        <f>IF(Match!D23="","",Match!D23)</f>
        <v>League 1</v>
      </c>
      <c r="C23" s="59" t="str">
        <f>IF(Match!U23="","",Match!U23)</f>
        <v>Stevenage  v  Bolton   17/10  9/4  8/5</v>
      </c>
      <c r="D23" s="58" t="str">
        <f>IF(Match!V23="","",Match!V23)</f>
        <v xml:space="preserve">Stevenage 0-0 Bolton </v>
      </c>
      <c r="F23" s="8"/>
    </row>
    <row r="24" spans="1:6">
      <c r="A24" s="90">
        <f>IF(Match!B24="","",Match!B24)</f>
        <v>45380</v>
      </c>
      <c r="B24" s="59" t="str">
        <f>IF(Match!D24="","",Match!D24)</f>
        <v>League 1</v>
      </c>
      <c r="C24" s="59" t="str">
        <f>IF(Match!U24="","",Match!U24)</f>
        <v>Wigan  v  Burton   19/20  12/5  11/4</v>
      </c>
      <c r="D24" s="58" t="str">
        <f>IF(Match!V24="","",Match!V24)</f>
        <v xml:space="preserve">Wigan 1-1 Burton </v>
      </c>
    </row>
    <row r="25" spans="1:6">
      <c r="A25" s="90">
        <f>IF(Match!B25="","",Match!B25)</f>
        <v>45380</v>
      </c>
      <c r="B25" s="59" t="str">
        <f>IF(Match!D25="","",Match!D25)</f>
        <v>League 1</v>
      </c>
      <c r="C25" s="59" t="str">
        <f>IF(Match!U25="","",Match!U25)</f>
        <v>Wycombe  v  Portsmouth   11/5  12/5  23/20</v>
      </c>
      <c r="D25" s="58" t="str">
        <f>IF(Match!V25="","",Match!V25)</f>
        <v xml:space="preserve">Wycombe 1-3 Portsmouth </v>
      </c>
      <c r="F25" s="8"/>
    </row>
    <row r="26" spans="1:6">
      <c r="A26" s="90">
        <f>IF(Match!B26="","",Match!B26)</f>
        <v>45380</v>
      </c>
      <c r="B26" s="59" t="str">
        <f>IF(Match!D26="","",Match!D26)</f>
        <v>League 2</v>
      </c>
      <c r="C26" s="59" t="str">
        <f>IF(Match!U26="","",Match!U26)</f>
        <v>Accrington  v  Morecambe   11/10  13/5  11/5</v>
      </c>
      <c r="D26" s="58" t="str">
        <f>IF(Match!V26="","",Match!V26)</f>
        <v xml:space="preserve">Accrington 1-2 Morecambe </v>
      </c>
    </row>
    <row r="27" spans="1:6">
      <c r="A27" s="90">
        <f>IF(Match!B27="","",Match!B27)</f>
        <v>45380</v>
      </c>
      <c r="B27" s="59" t="str">
        <f>IF(Match!D27="","",Match!D27)</f>
        <v>League 2</v>
      </c>
      <c r="C27" s="59" t="str">
        <f>IF(Match!U27="","",Match!U27)</f>
        <v>Barrow  v  Grimsby   19/20  12/5  11/4</v>
      </c>
      <c r="D27" s="58" t="str">
        <f>IF(Match!V27="","",Match!V27)</f>
        <v xml:space="preserve">Barrow 3-1 Grimsby </v>
      </c>
    </row>
    <row r="28" spans="1:6">
      <c r="A28" s="90">
        <f>IF(Match!B28="","",Match!B28)</f>
        <v>45380</v>
      </c>
      <c r="B28" s="59" t="str">
        <f>IF(Match!D28="","",Match!D28)</f>
        <v>League 2</v>
      </c>
      <c r="C28" s="59" t="str">
        <f>IF(Match!U28="","",Match!U28)</f>
        <v>Bradford  v  Tranmere   1/1  5/2  5/2</v>
      </c>
      <c r="D28" s="58" t="str">
        <f>IF(Match!V28="","",Match!V28)</f>
        <v xml:space="preserve">Bradford 2-0 Tranmere </v>
      </c>
    </row>
    <row r="29" spans="1:6">
      <c r="A29" s="90">
        <f>IF(Match!B29="","",Match!B29)</f>
        <v>45380</v>
      </c>
      <c r="B29" s="59" t="str">
        <f>IF(Match!D29="","",Match!D29)</f>
        <v>League 2</v>
      </c>
      <c r="C29" s="59" t="str">
        <f>IF(Match!U29="","",Match!U29)</f>
        <v>Colchester  v  Newport   1/1  13/5  5/2</v>
      </c>
      <c r="D29" s="58" t="str">
        <f>IF(Match!V29="","",Match!V29)</f>
        <v xml:space="preserve">Colchester 2-1 Newport </v>
      </c>
    </row>
    <row r="30" spans="1:6">
      <c r="A30" s="90">
        <f>IF(Match!B30="","",Match!B30)</f>
        <v>45380</v>
      </c>
      <c r="B30" s="59" t="str">
        <f>IF(Match!D30="","",Match!D30)</f>
        <v>League 2</v>
      </c>
      <c r="C30" s="59" t="str">
        <f>IF(Match!U30="","",Match!U30)</f>
        <v>Crawley  v  Doncaster   23/20  13/5  2/1</v>
      </c>
      <c r="D30" s="58" t="str">
        <f>IF(Match!V30="","",Match!V30)</f>
        <v xml:space="preserve">Crawley 0-2 Doncaster </v>
      </c>
    </row>
    <row r="31" spans="1:6">
      <c r="A31" s="90">
        <f>IF(Match!B31="","",Match!B31)</f>
        <v>45380</v>
      </c>
      <c r="B31" s="59" t="str">
        <f>IF(Match!D31="","",Match!D31)</f>
        <v>League 2</v>
      </c>
      <c r="C31" s="59" t="str">
        <f>IF(Match!U31="","",Match!U31)</f>
        <v>Forest Green  v  Stockport   4/1  14/5  13/20</v>
      </c>
      <c r="D31" s="58" t="str">
        <f>IF(Match!V31="","",Match!V31)</f>
        <v xml:space="preserve">Forest Green 0-3 Stockport </v>
      </c>
    </row>
    <row r="32" spans="1:6">
      <c r="A32" s="90">
        <f>IF(Match!B32="","",Match!B32)</f>
        <v>45380</v>
      </c>
      <c r="B32" s="59" t="str">
        <f>IF(Match!D32="","",Match!D32)</f>
        <v>League 2</v>
      </c>
      <c r="C32" s="59" t="str">
        <f>IF(Match!U32="","",Match!U32)</f>
        <v>Gillingham  v  Crewe   1/1  5/2  5/2</v>
      </c>
      <c r="D32" s="58" t="str">
        <f>IF(Match!V32="","",Match!V32)</f>
        <v xml:space="preserve">Gillingham 0-0 Crewe </v>
      </c>
    </row>
    <row r="33" spans="1:4">
      <c r="A33" s="90">
        <f>IF(Match!B33="","",Match!B33)</f>
        <v>45380</v>
      </c>
      <c r="B33" s="59" t="str">
        <f>IF(Match!D33="","",Match!D33)</f>
        <v>League 2</v>
      </c>
      <c r="C33" s="59" t="str">
        <f>IF(Match!U33="","",Match!U33)</f>
        <v>MK Dons  v  Walsall   10/11  27/10  13/5</v>
      </c>
      <c r="D33" s="58" t="str">
        <f>IF(Match!V33="","",Match!V33)</f>
        <v xml:space="preserve">MK Dons 5-0 Walsall </v>
      </c>
    </row>
    <row r="34" spans="1:4">
      <c r="A34" s="90">
        <f>IF(Match!B34="","",Match!B34)</f>
        <v>45380</v>
      </c>
      <c r="B34" s="59" t="str">
        <f>IF(Match!D34="","",Match!D34)</f>
        <v>League 2</v>
      </c>
      <c r="C34" s="59" t="str">
        <f>IF(Match!U34="","",Match!U34)</f>
        <v>Salford  v  Sutton   4/5  14/5  3/1</v>
      </c>
      <c r="D34" s="58" t="str">
        <f>IF(Match!V34="","",Match!V34)</f>
        <v xml:space="preserve">Salford 1-2 Sutton </v>
      </c>
    </row>
    <row r="35" spans="1:4">
      <c r="A35" s="90">
        <f>IF(Match!B35="","",Match!B35)</f>
        <v>45380</v>
      </c>
      <c r="B35" s="59" t="str">
        <f>IF(Match!D35="","",Match!D35)</f>
        <v>League 2</v>
      </c>
      <c r="C35" s="59" t="str">
        <f>IF(Match!U35="","",Match!U35)</f>
        <v>Swindon  v  Notts Co   5/4  29/10  17/10</v>
      </c>
      <c r="D35" s="58" t="str">
        <f>IF(Match!V35="","",Match!V35)</f>
        <v xml:space="preserve">Swindon 2-1 Notts Co </v>
      </c>
    </row>
    <row r="36" spans="1:4">
      <c r="A36" s="90">
        <f>IF(Match!B36="","",Match!B36)</f>
        <v>45380</v>
      </c>
      <c r="B36" s="59" t="str">
        <f>IF(Match!D36="","",Match!D36)</f>
        <v>League 2</v>
      </c>
      <c r="C36" s="59" t="str">
        <f>IF(Match!U36="","",Match!U36)</f>
        <v>Wimbledon  v  Harrogate   8/15  3/1  24/5</v>
      </c>
      <c r="D36" s="58" t="str">
        <f>IF(Match!V36="","",Match!V36)</f>
        <v xml:space="preserve">Wimbledon 1-1 Harrogate </v>
      </c>
    </row>
    <row r="37" spans="1:4">
      <c r="A37" s="90">
        <f>IF(Match!B37="","",Match!B37)</f>
        <v>45380</v>
      </c>
      <c r="B37" s="59" t="str">
        <f>IF(Match!D37="","",Match!D37)</f>
        <v>League 2</v>
      </c>
      <c r="C37" s="59" t="str">
        <f>IF(Match!U37="","",Match!U37)</f>
        <v>Wrexham  v  Mansfield   13/10  13/5  7/4</v>
      </c>
      <c r="D37" s="58" t="str">
        <f>IF(Match!V37="","",Match!V37)</f>
        <v xml:space="preserve">Wrexham 2-0 Mansfield </v>
      </c>
    </row>
    <row r="38" spans="1:4">
      <c r="A38" s="90">
        <f>IF(Match!B38="","",Match!B38)</f>
        <v>45381</v>
      </c>
      <c r="B38" s="59" t="str">
        <f>IF(Match!D38="","",Match!D38)</f>
        <v>Premier</v>
      </c>
      <c r="C38" s="59" t="str">
        <f>IF(Match!U38="","",Match!U38)</f>
        <v>Bournemouth  v  Everton   11/10  27/10  11/5</v>
      </c>
      <c r="D38" s="58" t="str">
        <f>IF(Match!V38="","",Match!V38)</f>
        <v xml:space="preserve">Bournemouth 2-1 Everton </v>
      </c>
    </row>
    <row r="39" spans="1:4">
      <c r="A39" s="90">
        <f>IF(Match!B39="","",Match!B39)</f>
        <v>45381</v>
      </c>
      <c r="B39" s="59" t="str">
        <f>IF(Match!D39="","",Match!D39)</f>
        <v>Premier</v>
      </c>
      <c r="C39" s="59" t="str">
        <f>IF(Match!U39="","",Match!U39)</f>
        <v>Brentford  v  Man U   19/10  14/5  6/5</v>
      </c>
      <c r="D39" s="58" t="str">
        <f>IF(Match!V39="","",Match!V39)</f>
        <v xml:space="preserve">Brentford 1-1 Man U </v>
      </c>
    </row>
    <row r="40" spans="1:4">
      <c r="A40" s="90">
        <f>IF(Match!B40="","",Match!B40)</f>
        <v>45381</v>
      </c>
      <c r="B40" s="59" t="str">
        <f>IF(Match!D40="","",Match!D40)</f>
        <v>Premier</v>
      </c>
      <c r="C40" s="59" t="str">
        <f>IF(Match!U40="","",Match!U40)</f>
        <v>Chelsea  v  Burnley   2/7  24/5  8/1</v>
      </c>
      <c r="D40" s="58" t="str">
        <f>IF(Match!V40="","",Match!V40)</f>
        <v xml:space="preserve">Chelsea 2-2 Burnley </v>
      </c>
    </row>
    <row r="41" spans="1:4">
      <c r="A41" s="90">
        <f>IF(Match!B41="","",Match!B41)</f>
        <v>45381</v>
      </c>
      <c r="B41" s="59" t="str">
        <f>IF(Match!D41="","",Match!D41)</f>
        <v>Premier</v>
      </c>
      <c r="C41" s="59" t="str">
        <f>IF(Match!U41="","",Match!U41)</f>
        <v>Forest  v  Palace   6/5  12/5  11/5</v>
      </c>
      <c r="D41" s="58" t="str">
        <f>IF(Match!V41="","",Match!V41)</f>
        <v xml:space="preserve">Forest 1-1 Palace </v>
      </c>
    </row>
    <row r="42" spans="1:4">
      <c r="A42" s="90">
        <f>IF(Match!B42="","",Match!B42)</f>
        <v>45381</v>
      </c>
      <c r="B42" s="59" t="str">
        <f>IF(Match!D42="","",Match!D42)</f>
        <v>Premier</v>
      </c>
      <c r="C42" s="59" t="str">
        <f>IF(Match!U42="","",Match!U42)</f>
        <v>Newcastle  v  West Ham   17/20  3/1  27/10</v>
      </c>
      <c r="D42" s="58" t="str">
        <f>IF(Match!V42="","",Match!V42)</f>
        <v xml:space="preserve">Newcastle 4-3 West Ham </v>
      </c>
    </row>
    <row r="43" spans="1:4">
      <c r="A43" s="90">
        <f>IF(Match!B43="","",Match!B43)</f>
        <v>45381</v>
      </c>
      <c r="B43" s="59" t="str">
        <f>IF(Match!D43="","",Match!D43)</f>
        <v>Premier</v>
      </c>
      <c r="C43" s="59" t="str">
        <f>IF(Match!U43="","",Match!U43)</f>
        <v>Sheff U  v  Fulham   7/2  3/1  7/10</v>
      </c>
      <c r="D43" s="58" t="str">
        <f>IF(Match!V43="","",Match!V43)</f>
        <v xml:space="preserve">Sheff U 3-3 Fulham </v>
      </c>
    </row>
    <row r="44" spans="1:4">
      <c r="A44" s="90">
        <f>IF(Match!B44="","",Match!B44)</f>
        <v>45381</v>
      </c>
      <c r="B44" s="59" t="str">
        <f>IF(Match!D44="","",Match!D44)</f>
        <v>Premier</v>
      </c>
      <c r="C44" s="59" t="str">
        <f>IF(Match!U44="","",Match!U44)</f>
        <v>Spurs  v  Luton   2/9  6/1  9/1</v>
      </c>
      <c r="D44" s="58" t="str">
        <f>IF(Match!V44="","",Match!V44)</f>
        <v xml:space="preserve">Spurs 2-1 Luton </v>
      </c>
    </row>
    <row r="45" spans="1:4">
      <c r="A45" s="90">
        <f>IF(Match!B45="","",Match!B45)</f>
        <v>45381</v>
      </c>
      <c r="B45" s="59" t="str">
        <f>IF(Match!D45="","",Match!D45)</f>
        <v>Premier</v>
      </c>
      <c r="C45" s="59" t="str">
        <f>IF(Match!U45="","",Match!U45)</f>
        <v>Villa  v  Wolves   13/20  10/3  7/2</v>
      </c>
      <c r="D45" s="58" t="str">
        <f>IF(Match!V45="","",Match!V45)</f>
        <v xml:space="preserve">Villa 2-0 Wolves </v>
      </c>
    </row>
    <row r="46" spans="1:4">
      <c r="A46" s="90">
        <f>IF(Match!B46="","",Match!B46)</f>
        <v>45382</v>
      </c>
      <c r="B46" s="59" t="str">
        <f>IF(Match!D46="","",Match!D46)</f>
        <v>Premier</v>
      </c>
      <c r="C46" s="59" t="str">
        <f>IF(Match!U46="","",Match!U46)</f>
        <v>Liverpool  v  Brighton   7/20  9/2  13/2</v>
      </c>
      <c r="D46" s="58" t="str">
        <f>IF(Match!V46="","",Match!V46)</f>
        <v xml:space="preserve">Liverpool 2-0 Brighton </v>
      </c>
    </row>
    <row r="47" spans="1:4">
      <c r="A47" s="90">
        <f>IF(Match!B47="","",Match!B47)</f>
        <v>45382</v>
      </c>
      <c r="B47" s="59" t="str">
        <f>IF(Match!D47="","",Match!D47)</f>
        <v>Premier</v>
      </c>
      <c r="C47" s="58" t="str">
        <f>IF(Match!U47="","",Match!U47)</f>
        <v>Man C  v  Arsenal   5/6  3/1  14/5</v>
      </c>
      <c r="D47" s="58" t="str">
        <f>IF(Match!V47="","",Match!V47)</f>
        <v xml:space="preserve">Man C 0-0 Arsenal </v>
      </c>
    </row>
    <row r="48" spans="1:4">
      <c r="A48" s="90" t="str">
        <f>IF(Match!B48="","",Match!B48)</f>
        <v/>
      </c>
      <c r="B48" s="59" t="str">
        <f>IF(Match!D48="","",Match!D48)</f>
        <v/>
      </c>
      <c r="C48" s="58" t="str">
        <f>IF(Match!U48="","",Match!U48)</f>
        <v/>
      </c>
      <c r="D48" s="58" t="str">
        <f>IF(Match!V48="","",Match!V48)</f>
        <v xml:space="preserve"> -  </v>
      </c>
    </row>
    <row r="49" spans="1:4">
      <c r="A49" s="90" t="str">
        <f>IF(Match!B49="","",Match!B49)</f>
        <v/>
      </c>
      <c r="B49" s="59" t="str">
        <f>IF(Match!D49="","",Match!D49)</f>
        <v/>
      </c>
      <c r="C49" s="58" t="str">
        <f>IF(Match!U49="","",Match!U49)</f>
        <v/>
      </c>
      <c r="D49" s="58" t="str">
        <f>IF(Match!V49="","",Match!V49)</f>
        <v xml:space="preserve"> -  </v>
      </c>
    </row>
    <row r="50" spans="1:4">
      <c r="A50" s="90" t="str">
        <f>IF(Match!B50="","",Match!B50)</f>
        <v/>
      </c>
      <c r="B50" s="59" t="str">
        <f>IF(Match!D50="","",Match!D50)</f>
        <v/>
      </c>
      <c r="C50" s="58" t="str">
        <f>IF(Match!U50="","",Match!U50)</f>
        <v/>
      </c>
      <c r="D50" s="58" t="str">
        <f>IF(Match!V50="","",Match!V50)</f>
        <v xml:space="preserve"> -  </v>
      </c>
    </row>
    <row r="51" spans="1:4">
      <c r="A51" s="90" t="str">
        <f>IF(Match!B51="","",Match!B51)</f>
        <v/>
      </c>
      <c r="B51" s="59" t="str">
        <f>IF(Match!D51="","",Match!D51)</f>
        <v/>
      </c>
      <c r="C51" s="58" t="str">
        <f>IF(Match!U51="","",Match!U51)</f>
        <v/>
      </c>
      <c r="D51" s="58" t="str">
        <f>IF(Match!V51="","",Match!V51)</f>
        <v xml:space="preserve"> -  </v>
      </c>
    </row>
    <row r="52" spans="1:4">
      <c r="A52" s="90" t="str">
        <f>IF(Match!B52="","",Match!B52)</f>
        <v/>
      </c>
      <c r="B52" s="59" t="str">
        <f>IF(Match!D52="","",Match!D52)</f>
        <v/>
      </c>
      <c r="C52" s="58" t="str">
        <f>IF(Match!U52="","",Match!U52)</f>
        <v/>
      </c>
      <c r="D52" s="58" t="str">
        <f>IF(Match!V52="","",Match!V52)</f>
        <v xml:space="preserve"> -  </v>
      </c>
    </row>
    <row r="53" spans="1:4">
      <c r="A53" s="90" t="str">
        <f>IF(Match!B53="","",Match!B53)</f>
        <v/>
      </c>
      <c r="B53" s="59" t="str">
        <f>IF(Match!D53="","",Match!D53)</f>
        <v/>
      </c>
      <c r="C53" s="58" t="str">
        <f>IF(Match!U53="","",Match!U53)</f>
        <v/>
      </c>
      <c r="D53" s="58" t="str">
        <f>IF(Match!V53="","",Match!V53)</f>
        <v xml:space="preserve"> -  </v>
      </c>
    </row>
    <row r="54" spans="1:4">
      <c r="A54" s="90" t="str">
        <f>IF(Match!B54="","",Match!B54)</f>
        <v/>
      </c>
      <c r="B54" s="59" t="str">
        <f>IF(Match!D54="","",Match!D54)</f>
        <v/>
      </c>
      <c r="C54" s="58" t="str">
        <f>IF(Match!U54="","",Match!U54)</f>
        <v/>
      </c>
      <c r="D54" s="58" t="str">
        <f>IF(Match!V54="","",Match!V54)</f>
        <v xml:space="preserve"> -  </v>
      </c>
    </row>
    <row r="55" spans="1:4">
      <c r="A55" s="90" t="str">
        <f>IF(Match!B55="","",Match!B55)</f>
        <v/>
      </c>
      <c r="B55" s="59" t="str">
        <f>IF(Match!D55="","",Match!D55)</f>
        <v/>
      </c>
      <c r="C55" s="58" t="str">
        <f>IF(Match!U55="","",Match!U55)</f>
        <v/>
      </c>
      <c r="D55" s="58" t="str">
        <f>IF(Match!V55="","",Match!V55)</f>
        <v xml:space="preserve"> -  </v>
      </c>
    </row>
    <row r="56" spans="1:4">
      <c r="A56" s="90" t="str">
        <f>IF(Match!B56="","",Match!B56)</f>
        <v/>
      </c>
      <c r="B56" s="59" t="str">
        <f>IF(Match!D56="","",Match!D56)</f>
        <v/>
      </c>
      <c r="C56" s="58" t="str">
        <f>IF(Match!U56="","",Match!U56)</f>
        <v/>
      </c>
      <c r="D56" s="58" t="str">
        <f>IF(Match!V56="","",Match!V56)</f>
        <v xml:space="preserve"> -  </v>
      </c>
    </row>
    <row r="57" spans="1:4">
      <c r="A57" s="90" t="str">
        <f>IF(Match!B57="","",Match!B57)</f>
        <v/>
      </c>
      <c r="B57" s="59" t="str">
        <f>IF(Match!D57="","",Match!D57)</f>
        <v/>
      </c>
      <c r="C57" s="58" t="str">
        <f>IF(Match!U57="","",Match!U57)</f>
        <v/>
      </c>
      <c r="D57" s="58" t="str">
        <f>IF(Match!V57="","",Match!V57)</f>
        <v xml:space="preserve"> -  </v>
      </c>
    </row>
    <row r="58" spans="1:4">
      <c r="A58" s="90" t="str">
        <f>IF(Match!B58="","",Match!B58)</f>
        <v/>
      </c>
      <c r="B58" s="59" t="str">
        <f>IF(Match!D58="","",Match!D58)</f>
        <v/>
      </c>
      <c r="C58" s="58" t="str">
        <f>IF(Match!U58="","",Match!U58)</f>
        <v/>
      </c>
      <c r="D58" s="58" t="str">
        <f>IF(Match!V58="","",Match!V58)</f>
        <v xml:space="preserve"> -  </v>
      </c>
    </row>
    <row r="59" spans="1:4">
      <c r="A59" s="90" t="str">
        <f>IF(Match!B59="","",Match!B59)</f>
        <v/>
      </c>
      <c r="B59" s="59" t="str">
        <f>IF(Match!D59="","",Match!D59)</f>
        <v/>
      </c>
      <c r="C59" s="58" t="str">
        <f>IF(Match!U59="","",Match!U59)</f>
        <v/>
      </c>
      <c r="D59" s="58" t="str">
        <f>IF(Match!V59="","",Match!V59)</f>
        <v xml:space="preserve"> -  </v>
      </c>
    </row>
    <row r="60" spans="1:4">
      <c r="A60" s="90" t="str">
        <f>IF(Match!B60="","",Match!B60)</f>
        <v/>
      </c>
      <c r="B60" s="59" t="str">
        <f>IF(Match!D60="","",Match!D60)</f>
        <v/>
      </c>
      <c r="C60" s="58" t="str">
        <f>IF(Match!U60="","",Match!U60)</f>
        <v/>
      </c>
      <c r="D60" s="58" t="str">
        <f>IF(Match!V60="","",Match!V60)</f>
        <v xml:space="preserve"> -  </v>
      </c>
    </row>
    <row r="61" spans="1:4">
      <c r="A61" s="90" t="str">
        <f>IF(Match!B61="","",Match!B61)</f>
        <v/>
      </c>
      <c r="B61" s="59" t="str">
        <f>IF(Match!D61="","",Match!D61)</f>
        <v/>
      </c>
      <c r="C61" s="58" t="str">
        <f>IF(Match!U61="","",Match!U61)</f>
        <v/>
      </c>
      <c r="D61" s="58" t="str">
        <f>IF(Match!V61="","",Match!V61)</f>
        <v/>
      </c>
    </row>
    <row r="62" spans="1:4">
      <c r="A62" s="90" t="str">
        <f>IF(Match!B62="","",Match!B62)</f>
        <v/>
      </c>
      <c r="B62" s="59" t="str">
        <f>IF(Match!D62="","",Match!D62)</f>
        <v/>
      </c>
      <c r="C62" s="58" t="str">
        <f>IF(Match!U62="","",Match!U62)</f>
        <v/>
      </c>
      <c r="D62" s="58" t="str">
        <f>IF(Match!V62="","",Match!V62)</f>
        <v/>
      </c>
    </row>
    <row r="63" spans="1:4">
      <c r="A63" s="90" t="str">
        <f>IF(Match!B63="","",Match!B63)</f>
        <v/>
      </c>
      <c r="B63" s="59" t="str">
        <f>IF(Match!D63="","",Match!D63)</f>
        <v/>
      </c>
      <c r="C63" s="58" t="str">
        <f>IF(Match!U63="","",Match!U63)</f>
        <v/>
      </c>
      <c r="D63" s="58" t="str">
        <f>IF(Match!V63="","",Match!V63)</f>
        <v/>
      </c>
    </row>
    <row r="64" spans="1:4">
      <c r="A64" s="90" t="str">
        <f>IF(Match!B64="","",Match!B64)</f>
        <v/>
      </c>
      <c r="B64" s="59" t="str">
        <f>IF(Match!D64="","",Match!D64)</f>
        <v/>
      </c>
      <c r="C64" s="58" t="str">
        <f>IF(Match!U64="","",Match!U64)</f>
        <v/>
      </c>
      <c r="D64" s="58"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scale="86" orientation="portrait" horizontalDpi="360" verticalDpi="360" r:id="rId1"/>
  <headerFooter>
    <oddHeader xml:space="preserve">&amp;R&amp;24&amp;K7030A0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topLeftCell="U1" zoomScaleNormal="100" workbookViewId="0">
      <selection activeCell="AC2" sqref="AC2"/>
    </sheetView>
  </sheetViews>
  <sheetFormatPr defaultRowHeight="12.75"/>
  <cols>
    <col min="1" max="1" width="5.3984375" style="76"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76" customFormat="1">
      <c r="A1" s="361" t="s">
        <v>342</v>
      </c>
    </row>
    <row r="2" spans="1:58" s="214" customFormat="1" ht="30" customHeight="1">
      <c r="A2" s="139"/>
      <c r="B2" s="618" t="str">
        <f>IF(CupDraw!I1="","",CupDraw!I1)</f>
        <v/>
      </c>
      <c r="C2" s="617" t="str">
        <f>IF(CupDraw!J1="","",CupDraw!J1)</f>
        <v>Preliminary Round</v>
      </c>
      <c r="D2" s="656"/>
      <c r="E2" s="611"/>
      <c r="F2" s="613"/>
      <c r="G2" s="611"/>
      <c r="H2" s="618">
        <f>CupDraw!O1</f>
        <v>45304</v>
      </c>
      <c r="I2" s="617" t="str">
        <f>CupDraw!P1</f>
        <v>Round 1</v>
      </c>
      <c r="J2" s="618" t="str">
        <f>CupDraw!Q1</f>
        <v>PL R2</v>
      </c>
      <c r="K2" s="611"/>
      <c r="L2" s="614"/>
      <c r="M2" s="611"/>
      <c r="N2" s="618">
        <f>CupDraw!U1</f>
        <v>45339</v>
      </c>
      <c r="O2" s="617" t="str">
        <f>CupDraw!V1</f>
        <v>Round 2</v>
      </c>
      <c r="P2" s="618" t="str">
        <f>CupDraw!W1</f>
        <v>PL R8</v>
      </c>
      <c r="Q2" s="611"/>
      <c r="R2" s="614"/>
      <c r="S2" s="611"/>
      <c r="T2" s="618">
        <f>CupDraw!AA1</f>
        <v>45360</v>
      </c>
      <c r="U2" s="617" t="str">
        <f>CupDraw!AB1</f>
        <v>Round 3</v>
      </c>
      <c r="V2" s="618" t="str">
        <f>CupDraw!AC1</f>
        <v>PL R11</v>
      </c>
      <c r="W2" s="611"/>
      <c r="X2" s="614"/>
      <c r="Y2" s="618">
        <f>CupDraw!AG1</f>
        <v>45374</v>
      </c>
      <c r="Z2" s="617" t="str">
        <f>CupDraw!AH1</f>
        <v>Quarter Final</v>
      </c>
      <c r="AA2" s="618" t="str">
        <f>CupDraw!AI1</f>
        <v>PL R14</v>
      </c>
      <c r="AB2" s="611"/>
      <c r="AC2" s="139"/>
      <c r="AD2" s="618">
        <f>CupDraw!AM1</f>
        <v>45388</v>
      </c>
      <c r="AE2" s="617" t="str">
        <f>CupDraw!AN1</f>
        <v>Semi-Final</v>
      </c>
      <c r="AF2" s="618" t="str">
        <f>CupDraw!AO1</f>
        <v>PL R16</v>
      </c>
      <c r="AG2" s="611"/>
      <c r="AH2" s="139"/>
      <c r="AI2" s="618">
        <f>CupDraw!AS1</f>
        <v>45402</v>
      </c>
      <c r="AJ2" s="617" t="str">
        <f>CupDraw!AT1</f>
        <v>Final</v>
      </c>
      <c r="AK2" s="618" t="str">
        <f>CupDraw!AU1</f>
        <v>PL R19</v>
      </c>
      <c r="AL2" s="611"/>
      <c r="AM2" s="139"/>
      <c r="AN2" s="139"/>
      <c r="AO2" s="139"/>
      <c r="AP2" s="139"/>
      <c r="AQ2" s="139"/>
      <c r="AR2" s="139"/>
      <c r="AS2" s="139"/>
      <c r="AT2" s="139"/>
      <c r="AU2" s="139"/>
      <c r="AV2" s="139"/>
      <c r="AW2" s="139"/>
      <c r="AX2" s="139"/>
      <c r="AY2" s="139"/>
      <c r="AZ2" s="139"/>
      <c r="BA2" s="139"/>
      <c r="BB2" s="139"/>
      <c r="BC2" s="139"/>
      <c r="BD2" s="139"/>
      <c r="BE2" s="139"/>
      <c r="BF2" s="139"/>
    </row>
    <row r="3" spans="1:58">
      <c r="B3" s="84">
        <f>CupDraw!I2</f>
        <v>1</v>
      </c>
      <c r="C3" s="71" t="str">
        <f>IF(CupDraw!J2="","",CupDraw!J2)</f>
        <v>Phil Miller</v>
      </c>
      <c r="D3" s="72" t="str">
        <f>IF(CupDraw!K2="","",CupDraw!K2)</f>
        <v/>
      </c>
      <c r="E3" s="81" t="str">
        <f>IF(CupDraw!L2="","",CupDraw!L2)</f>
        <v/>
      </c>
      <c r="F3" s="75"/>
      <c r="G3" s="58"/>
      <c r="H3" s="683">
        <f>CupDraw!O2</f>
        <v>1</v>
      </c>
      <c r="I3" s="68" t="str">
        <f>IF(CupDraw!P2="","",CupDraw!P2)</f>
        <v>Phil Miller</v>
      </c>
      <c r="J3" s="72">
        <f>IF(CupDraw!Q2="","",CupDraw!Q2)</f>
        <v>-1.3</v>
      </c>
      <c r="K3" s="81" t="str">
        <f>IF(CupDraw!R2="","",CupDraw!R2)</f>
        <v/>
      </c>
      <c r="L3" s="78"/>
      <c r="M3" s="58"/>
      <c r="N3" s="60">
        <f>CupDraw!U2</f>
        <v>1</v>
      </c>
      <c r="O3" s="68" t="str">
        <f>CupDraw!V2</f>
        <v>Rob England</v>
      </c>
      <c r="P3" s="72">
        <f>IF(CupDraw!W2="","",CupDraw!W2)</f>
        <v>7.8125</v>
      </c>
      <c r="Q3" s="81" t="str">
        <f>IF(CupDraw!X2="","",CupDraw!X2)</f>
        <v/>
      </c>
      <c r="R3" s="78"/>
      <c r="S3" s="58"/>
      <c r="T3" s="60">
        <f>CupDraw!AA2</f>
        <v>1</v>
      </c>
      <c r="U3" s="68" t="str">
        <f>CupDraw!AB2</f>
        <v>Rob England</v>
      </c>
      <c r="V3" s="91">
        <f>IF(CupDraw!AC2="","",CupDraw!AC2)</f>
        <v>11.151999999999997</v>
      </c>
      <c r="W3" s="73" t="str">
        <f>CupDraw!AD2</f>
        <v/>
      </c>
      <c r="X3" s="78"/>
      <c r="Y3" s="60">
        <f>CupDraw!AG2</f>
        <v>1</v>
      </c>
      <c r="Z3" s="68" t="str">
        <f>CupDraw!AH2</f>
        <v>Rob England</v>
      </c>
      <c r="AA3" s="72">
        <f>CupDraw!AI2</f>
        <v>-0.84500000000000064</v>
      </c>
      <c r="AB3" s="73" t="str">
        <f>IF(CupDraw!AJ2="","",CupDraw!AJ2)</f>
        <v/>
      </c>
      <c r="AC3" s="76"/>
      <c r="AD3" s="60">
        <f>CupDraw!AM2</f>
        <v>1</v>
      </c>
      <c r="AE3" s="68" t="str">
        <f>IF(CupDraw!AN2="","",CupDraw!AN2)</f>
        <v>Rob England</v>
      </c>
      <c r="AF3" s="91" t="str">
        <f>IF(CupDraw!AO2="","",CupDraw!AO2)</f>
        <v/>
      </c>
      <c r="AG3" s="73" t="str">
        <f>CupDraw!AP2</f>
        <v/>
      </c>
      <c r="AH3" s="76"/>
      <c r="AI3" s="60">
        <f>CupDraw!AS2</f>
        <v>1</v>
      </c>
      <c r="AJ3" s="70" t="str">
        <f>CupDraw!AT2</f>
        <v>Await earlier tie</v>
      </c>
      <c r="AK3" s="91">
        <f>IF(CupDraw!AU2="","",CupDraw!AU2)</f>
        <v>-5.2</v>
      </c>
      <c r="AL3" s="73" t="str">
        <f>CupDraw!AV2</f>
        <v/>
      </c>
      <c r="AM3" s="76"/>
      <c r="AN3" s="76"/>
      <c r="AO3" s="76"/>
      <c r="AP3" s="76"/>
      <c r="AQ3" s="76"/>
      <c r="AR3" s="76"/>
      <c r="AS3" s="76"/>
      <c r="AT3" s="76"/>
      <c r="AU3" s="76"/>
      <c r="AV3" s="76"/>
      <c r="AW3" s="76"/>
      <c r="AX3" s="76"/>
      <c r="AY3" s="76"/>
      <c r="AZ3" s="76"/>
      <c r="BA3" s="76"/>
      <c r="BB3" s="76"/>
      <c r="BC3" s="76"/>
      <c r="BD3" s="76"/>
      <c r="BE3" s="76"/>
      <c r="BF3" s="76"/>
    </row>
    <row r="4" spans="1:58">
      <c r="B4" s="83"/>
      <c r="C4" s="71" t="str">
        <f>IF(CupDraw!J3="","",CupDraw!J3)</f>
        <v>Rob England</v>
      </c>
      <c r="D4" s="72" t="str">
        <f>IF(CupDraw!K3="","",CupDraw!K3)</f>
        <v/>
      </c>
      <c r="E4" s="124" t="str">
        <f>IF(CupDraw!L3="","",CupDraw!L3)</f>
        <v/>
      </c>
      <c r="F4" s="75"/>
      <c r="G4" s="58"/>
      <c r="H4" s="684">
        <f>CupDraw!O3</f>
        <v>0</v>
      </c>
      <c r="I4" s="68" t="str">
        <f>IF(CupDraw!P3="","",CupDraw!P3)</f>
        <v>Rob England</v>
      </c>
      <c r="J4" s="72">
        <f>IF(CupDraw!Q3="","",CupDraw!Q3)</f>
        <v>3.7300000000000004</v>
      </c>
      <c r="K4" s="61" t="str">
        <f>IF(CupDraw!R3="","",CupDraw!R3)</f>
        <v/>
      </c>
      <c r="L4" s="78"/>
      <c r="M4" s="58"/>
      <c r="N4" s="63"/>
      <c r="O4" s="68" t="str">
        <f>CupDraw!V3</f>
        <v>Simon Greenhalgh</v>
      </c>
      <c r="P4" s="72">
        <f>IF(CupDraw!W3="","",CupDraw!W3)</f>
        <v>-3.7</v>
      </c>
      <c r="Q4" s="64" t="str">
        <f>IF(CupDraw!X3="","",CupDraw!X3)</f>
        <v/>
      </c>
      <c r="R4" s="78"/>
      <c r="S4" s="58"/>
      <c r="T4" s="63"/>
      <c r="U4" s="68" t="str">
        <f>CupDraw!AB3</f>
        <v>Stephen Barr</v>
      </c>
      <c r="V4" s="91">
        <f>IF(CupDraw!AC3="","",CupDraw!AC3)</f>
        <v>2.3312500000000007</v>
      </c>
      <c r="W4" s="64"/>
      <c r="X4" s="78"/>
      <c r="Y4" s="63"/>
      <c r="Z4" s="68" t="str">
        <f>CupDraw!AH3</f>
        <v>Nigel Heyes</v>
      </c>
      <c r="AA4" s="72">
        <f>CupDraw!AI3</f>
        <v>-5.05</v>
      </c>
      <c r="AB4" s="676" t="str">
        <f>IF(CupDraw!AJ3="","",CupDraw!AJ3)</f>
        <v/>
      </c>
      <c r="AC4" s="76"/>
      <c r="AD4" s="63"/>
      <c r="AE4" s="68" t="str">
        <f>CupDraw!AN3</f>
        <v>Mark Bunn</v>
      </c>
      <c r="AF4" s="91" t="str">
        <f>IF(CupDraw!AO3="","",CupDraw!AO3)</f>
        <v/>
      </c>
      <c r="AG4" s="64"/>
      <c r="AH4" s="76"/>
      <c r="AI4" s="67"/>
      <c r="AJ4" s="70" t="str">
        <f>CupDraw!AT3</f>
        <v>Await earlier tie</v>
      </c>
      <c r="AK4" s="91">
        <f>IF(CupDraw!AU3="","",CupDraw!AU3)</f>
        <v>1.2399999999999984</v>
      </c>
      <c r="AL4" s="61"/>
      <c r="AM4" s="76"/>
      <c r="AN4" s="76"/>
      <c r="AO4" s="76"/>
      <c r="AP4" s="76"/>
      <c r="AQ4" s="76"/>
      <c r="AR4" s="76"/>
      <c r="AS4" s="76"/>
      <c r="AT4" s="76"/>
      <c r="AU4" s="76"/>
      <c r="AV4" s="76"/>
      <c r="AW4" s="76"/>
      <c r="AX4" s="76"/>
      <c r="AY4" s="76"/>
      <c r="AZ4" s="76"/>
      <c r="BA4" s="76"/>
      <c r="BB4" s="76"/>
      <c r="BC4" s="76"/>
      <c r="BD4" s="76"/>
      <c r="BE4" s="76"/>
      <c r="BF4" s="76"/>
    </row>
    <row r="5" spans="1:58">
      <c r="B5" s="84">
        <f>CupDraw!I4</f>
        <v>2</v>
      </c>
      <c r="C5" s="71" t="str">
        <f>IF(CupDraw!J4="","",CupDraw!J4)</f>
        <v>Pete Baron</v>
      </c>
      <c r="D5" s="72" t="str">
        <f>IF(CupDraw!K4="","",CupDraw!K4)</f>
        <v/>
      </c>
      <c r="E5" s="81" t="str">
        <f>IF(CupDraw!L4="","",CupDraw!L4)</f>
        <v/>
      </c>
      <c r="F5" s="75"/>
      <c r="G5" s="58"/>
      <c r="H5" s="82">
        <f>CupDraw!O4</f>
        <v>2</v>
      </c>
      <c r="I5" s="68" t="str">
        <f>IF(CupDraw!P4="","",CupDraw!P4)</f>
        <v>Pete Baron</v>
      </c>
      <c r="J5" s="72">
        <f>IF(CupDraw!Q4="","",CupDraw!Q4)</f>
        <v>-7</v>
      </c>
      <c r="K5" s="81" t="str">
        <f>IF(CupDraw!R4="","",CupDraw!R4)</f>
        <v/>
      </c>
      <c r="L5" s="78"/>
      <c r="M5" s="58"/>
      <c r="N5" s="60">
        <f>CupDraw!U4</f>
        <v>2</v>
      </c>
      <c r="O5" s="68" t="str">
        <f>CupDraw!V4</f>
        <v>Tom Robinson</v>
      </c>
      <c r="P5" s="72">
        <f>IF(CupDraw!W4="","",CupDraw!W4)</f>
        <v>-7</v>
      </c>
      <c r="Q5" s="81" t="str">
        <f>IF(CupDraw!X4="","",CupDraw!X4)</f>
        <v/>
      </c>
      <c r="R5" s="78"/>
      <c r="S5" s="58"/>
      <c r="T5" s="60">
        <f>CupDraw!AA4</f>
        <v>2</v>
      </c>
      <c r="U5" s="68" t="str">
        <f>CupDraw!AB4</f>
        <v>Nigel Heyes</v>
      </c>
      <c r="V5" s="91">
        <f>IF(CupDraw!AC4="","",CupDraw!AC4)</f>
        <v>-5.1538461538461533</v>
      </c>
      <c r="W5" s="73" t="str">
        <f>CupDraw!AD4</f>
        <v/>
      </c>
      <c r="X5" s="78"/>
      <c r="Y5" s="60">
        <f>CupDraw!AG4</f>
        <v>2</v>
      </c>
      <c r="Z5" s="68" t="str">
        <f>CupDraw!AH4</f>
        <v>David Dunn</v>
      </c>
      <c r="AA5" s="72">
        <f>CupDraw!AI4</f>
        <v>-7</v>
      </c>
      <c r="AB5" s="73" t="str">
        <f>IF(CupDraw!AJ4="","",CupDraw!AJ4)</f>
        <v/>
      </c>
      <c r="AC5" s="76"/>
      <c r="AD5" s="60">
        <f>CupDraw!AM4</f>
        <v>2</v>
      </c>
      <c r="AE5" s="68" t="str">
        <f>CupDraw!AN4</f>
        <v>Howard Bradley</v>
      </c>
      <c r="AF5" s="91" t="str">
        <f>IF(CupDraw!AO4="","",CupDraw!AO4)</f>
        <v/>
      </c>
      <c r="AG5" s="73" t="str">
        <f>CupDraw!AP4</f>
        <v/>
      </c>
      <c r="AH5" s="76"/>
      <c r="AI5" s="76"/>
      <c r="AJ5" s="76"/>
      <c r="AK5" s="76"/>
      <c r="AL5" s="76"/>
      <c r="AM5" s="76"/>
      <c r="AN5" s="76"/>
      <c r="AO5" s="76"/>
      <c r="AP5" s="76"/>
      <c r="AQ5" s="76"/>
      <c r="AR5" s="76"/>
      <c r="AS5" s="76"/>
      <c r="AT5" s="76"/>
      <c r="AU5" s="76"/>
      <c r="AV5" s="76"/>
      <c r="AW5" s="76"/>
      <c r="AX5" s="76"/>
      <c r="AY5" s="76"/>
      <c r="AZ5" s="76"/>
      <c r="BA5" s="76"/>
      <c r="BB5" s="76"/>
      <c r="BC5" s="76"/>
      <c r="BD5" s="76"/>
      <c r="BE5" s="76"/>
      <c r="BF5" s="76"/>
    </row>
    <row r="6" spans="1:58">
      <c r="B6" s="83"/>
      <c r="C6" s="71" t="str">
        <f>IF(CupDraw!J5="","",CupDraw!J5)</f>
        <v>Simon Greenhalgh</v>
      </c>
      <c r="D6" s="72" t="str">
        <f>IF(CupDraw!K5="","",CupDraw!K5)</f>
        <v/>
      </c>
      <c r="E6" s="124" t="str">
        <f>IF(CupDraw!L5="","",CupDraw!L5)</f>
        <v/>
      </c>
      <c r="F6" s="75"/>
      <c r="G6" s="58"/>
      <c r="H6" s="83"/>
      <c r="I6" s="68" t="str">
        <f>IF(CupDraw!P5="","",CupDraw!P5)</f>
        <v>Simon Greenhalgh</v>
      </c>
      <c r="J6" s="72">
        <f>IF(CupDraw!Q5="","",CupDraw!Q5)</f>
        <v>-3.3</v>
      </c>
      <c r="K6" s="61" t="str">
        <f>IF(CupDraw!R5="","",CupDraw!R5)</f>
        <v/>
      </c>
      <c r="L6" s="78"/>
      <c r="M6" s="58"/>
      <c r="N6" s="63"/>
      <c r="O6" s="68" t="str">
        <f>CupDraw!V5</f>
        <v>Stephen Barr</v>
      </c>
      <c r="P6" s="72">
        <f>IF(CupDraw!W5="","",CupDraw!W5)</f>
        <v>-5.0909090909090908</v>
      </c>
      <c r="Q6" s="64" t="str">
        <f>IF(CupDraw!X5="","",CupDraw!X5)</f>
        <v/>
      </c>
      <c r="R6" s="78"/>
      <c r="S6" s="58"/>
      <c r="T6" s="63"/>
      <c r="U6" s="68" t="str">
        <f>CupDraw!AB5</f>
        <v>Paul Adderley</v>
      </c>
      <c r="V6" s="91">
        <f>IF(CupDraw!AC5="","",CupDraw!AC5)</f>
        <v>-7</v>
      </c>
      <c r="W6" s="64"/>
      <c r="X6" s="78"/>
      <c r="Y6" s="63"/>
      <c r="Z6" s="68" t="str">
        <f>CupDraw!AH5</f>
        <v>Mark Bunn</v>
      </c>
      <c r="AA6" s="72">
        <f>CupDraw!AI5</f>
        <v>-4.95</v>
      </c>
      <c r="AB6" s="676" t="str">
        <f>IF(CupDraw!AJ5="","",CupDraw!AJ5)</f>
        <v/>
      </c>
      <c r="AC6" s="76"/>
      <c r="AD6" s="67"/>
      <c r="AE6" s="68" t="str">
        <f>CupDraw!AN5</f>
        <v>Paul Barnes</v>
      </c>
      <c r="AF6" s="91" t="str">
        <f>IF(CupDraw!AO5="","",CupDraw!AO5)</f>
        <v/>
      </c>
      <c r="AG6" s="61"/>
      <c r="AH6" s="76"/>
      <c r="AI6" s="59"/>
      <c r="AJ6" s="58"/>
      <c r="AK6" s="58"/>
      <c r="AL6" s="58"/>
      <c r="AM6" s="76"/>
      <c r="AN6" s="76"/>
      <c r="AO6" s="76"/>
      <c r="AP6" s="76"/>
      <c r="AQ6" s="76"/>
      <c r="AR6" s="76"/>
      <c r="AS6" s="76"/>
      <c r="AT6" s="76"/>
      <c r="AU6" s="76"/>
      <c r="AV6" s="76"/>
      <c r="AW6" s="76"/>
      <c r="AX6" s="76"/>
      <c r="AY6" s="76"/>
      <c r="AZ6" s="76"/>
      <c r="BA6" s="76"/>
      <c r="BB6" s="76"/>
      <c r="BC6" s="76"/>
      <c r="BD6" s="76"/>
      <c r="BE6" s="76"/>
      <c r="BF6" s="76"/>
    </row>
    <row r="7" spans="1:58">
      <c r="B7" s="84">
        <f>CupDraw!I6</f>
        <v>3</v>
      </c>
      <c r="C7" s="71" t="str">
        <f>IF(CupDraw!J6="","",CupDraw!J6)</f>
        <v>Tom Robinson</v>
      </c>
      <c r="D7" s="72" t="str">
        <f>IF(CupDraw!K6="","",CupDraw!K6)</f>
        <v/>
      </c>
      <c r="E7" s="81" t="str">
        <f>IF(CupDraw!L6="","",CupDraw!L6)</f>
        <v/>
      </c>
      <c r="F7" s="75"/>
      <c r="G7" s="58"/>
      <c r="H7" s="84">
        <f>CupDraw!O6</f>
        <v>3</v>
      </c>
      <c r="I7" s="68" t="str">
        <f>IF(CupDraw!P6="","",CupDraw!P6)</f>
        <v>Tom Robinson</v>
      </c>
      <c r="J7" s="72">
        <f>IF(CupDraw!Q6="","",CupDraw!Q6)</f>
        <v>6.625</v>
      </c>
      <c r="K7" s="81" t="str">
        <f>IF(CupDraw!R6="","",CupDraw!R6)</f>
        <v/>
      </c>
      <c r="L7" s="78"/>
      <c r="M7" s="58"/>
      <c r="N7" s="60">
        <f>CupDraw!U6</f>
        <v>3</v>
      </c>
      <c r="O7" s="68" t="str">
        <f>CupDraw!V6</f>
        <v>Vinny Topping</v>
      </c>
      <c r="P7" s="72">
        <f>IF(CupDraw!W6="","",CupDraw!W6)</f>
        <v>1.4050000000000011</v>
      </c>
      <c r="Q7" s="81" t="str">
        <f>IF(CupDraw!X6="","",CupDraw!X6)</f>
        <v/>
      </c>
      <c r="R7" s="78"/>
      <c r="S7" s="58"/>
      <c r="T7" s="60">
        <f>CupDraw!AA6</f>
        <v>3</v>
      </c>
      <c r="U7" s="68" t="str">
        <f>CupDraw!AB6</f>
        <v>David Dunn</v>
      </c>
      <c r="V7" s="91">
        <f>IF(CupDraw!AC6="","",CupDraw!AC6)</f>
        <v>17.283571428571431</v>
      </c>
      <c r="W7" s="73" t="str">
        <f>CupDraw!AD6</f>
        <v/>
      </c>
      <c r="X7" s="78"/>
      <c r="Y7" s="60">
        <f>CupDraw!AG6</f>
        <v>3</v>
      </c>
      <c r="Z7" s="68" t="str">
        <f>CupDraw!AH6</f>
        <v>Howard Bradley</v>
      </c>
      <c r="AA7" s="72">
        <f>CupDraw!AI6</f>
        <v>2.8000000000000007</v>
      </c>
      <c r="AB7" s="73" t="str">
        <f>IF(CupDraw!AJ6="","",CupDraw!AJ6)</f>
        <v/>
      </c>
      <c r="AC7" s="76"/>
      <c r="AD7" s="76"/>
      <c r="AE7" s="76"/>
      <c r="AF7" s="593" t="str">
        <f>IF(CupDraw!AO6="","",CupDraw!AO6)</f>
        <v/>
      </c>
      <c r="AG7" s="76"/>
      <c r="AH7" s="76"/>
      <c r="AI7" s="59" t="str">
        <f>CupDraw!AS6</f>
        <v>Earlier ties</v>
      </c>
      <c r="AJ7" s="58"/>
      <c r="AK7" s="58"/>
      <c r="AL7" s="58"/>
      <c r="AM7" s="76"/>
      <c r="AN7" s="76"/>
      <c r="AO7" s="76"/>
      <c r="AP7" s="76"/>
      <c r="AQ7" s="76"/>
      <c r="AR7" s="76"/>
      <c r="AS7" s="76"/>
      <c r="AT7" s="76"/>
      <c r="AU7" s="76"/>
      <c r="AV7" s="76"/>
      <c r="AW7" s="76"/>
      <c r="AX7" s="76"/>
      <c r="AY7" s="76"/>
      <c r="AZ7" s="76"/>
      <c r="BA7" s="76"/>
      <c r="BB7" s="76"/>
      <c r="BC7" s="76"/>
      <c r="BD7" s="76"/>
      <c r="BE7" s="76"/>
      <c r="BF7" s="76"/>
    </row>
    <row r="8" spans="1:58">
      <c r="B8" s="83"/>
      <c r="C8" s="71" t="str">
        <f>IF(CupDraw!J7="","",CupDraw!J7)</f>
        <v>Paul Fairhurst</v>
      </c>
      <c r="D8" s="72" t="str">
        <f>IF(CupDraw!K7="","",CupDraw!K7)</f>
        <v/>
      </c>
      <c r="E8" s="124" t="str">
        <f>IF(CupDraw!L7="","",CupDraw!L7)</f>
        <v/>
      </c>
      <c r="F8" s="75"/>
      <c r="G8" s="58"/>
      <c r="H8" s="83"/>
      <c r="I8" s="68" t="str">
        <f>IF(CupDraw!P7="","",CupDraw!P7)</f>
        <v>Paul Fairhurst</v>
      </c>
      <c r="J8" s="72">
        <f>IF(CupDraw!Q7="","",CupDraw!Q7)</f>
        <v>-0.95000000000000018</v>
      </c>
      <c r="K8" s="61" t="str">
        <f>IF(CupDraw!R7="","",CupDraw!R7)</f>
        <v/>
      </c>
      <c r="L8" s="78"/>
      <c r="M8" s="58"/>
      <c r="N8" s="63"/>
      <c r="O8" s="68" t="str">
        <f>CupDraw!V7</f>
        <v>Nigel Heyes</v>
      </c>
      <c r="P8" s="72">
        <f>IF(CupDraw!W7="","",CupDraw!W7)</f>
        <v>5.0500000000000007</v>
      </c>
      <c r="Q8" s="64" t="str">
        <f>IF(CupDraw!X7="","",CupDraw!X7)</f>
        <v/>
      </c>
      <c r="R8" s="78"/>
      <c r="S8" s="58"/>
      <c r="T8" s="63"/>
      <c r="U8" s="68" t="str">
        <f>CupDraw!AB7</f>
        <v>Chris Luck</v>
      </c>
      <c r="V8" s="91">
        <f>IF(CupDraw!AC7="","",CupDraw!AC7)</f>
        <v>-4.4000000000000004</v>
      </c>
      <c r="W8" s="64"/>
      <c r="X8" s="78"/>
      <c r="Y8" s="63"/>
      <c r="Z8" s="68" t="str">
        <f>CupDraw!AH7</f>
        <v>Gareth Powell</v>
      </c>
      <c r="AA8" s="72">
        <f>CupDraw!AI7</f>
        <v>-3.75</v>
      </c>
      <c r="AB8" s="676" t="str">
        <f>IF(CupDraw!AJ7="","",CupDraw!AJ7)</f>
        <v/>
      </c>
      <c r="AC8" s="76"/>
      <c r="AD8" s="59" t="str">
        <f>CupDraw!AM7</f>
        <v>Earlier ties</v>
      </c>
      <c r="AE8" s="58"/>
      <c r="AF8" s="594" t="str">
        <f>IF(CupDraw!AO7="","",CupDraw!AO7)</f>
        <v/>
      </c>
      <c r="AG8" s="58"/>
      <c r="AH8" s="76"/>
      <c r="AI8" s="683"/>
      <c r="AJ8" s="68" t="str">
        <f>IF(CupDraw!AT7="","",CupDraw!AT7)</f>
        <v/>
      </c>
      <c r="AK8" s="69" t="str">
        <f>IF(CupDraw!AU7="","",CupDraw!AU7)</f>
        <v/>
      </c>
      <c r="AL8" s="81" t="str">
        <f>IF(CupDraw!AV7="","",CupDraw!AV7)</f>
        <v/>
      </c>
      <c r="AM8" s="76"/>
      <c r="AN8" s="76"/>
      <c r="AO8" s="76"/>
      <c r="AP8" s="76"/>
      <c r="AQ8" s="76"/>
      <c r="AR8" s="76"/>
      <c r="AS8" s="76"/>
      <c r="AT8" s="76"/>
      <c r="AU8" s="76"/>
      <c r="AV8" s="76"/>
      <c r="AW8" s="76"/>
      <c r="AX8" s="76"/>
      <c r="AY8" s="76"/>
      <c r="AZ8" s="76"/>
      <c r="BA8" s="76"/>
      <c r="BB8" s="76"/>
      <c r="BC8" s="76"/>
      <c r="BD8" s="76"/>
      <c r="BE8" s="76"/>
      <c r="BF8" s="76"/>
    </row>
    <row r="9" spans="1:58">
      <c r="B9" s="84">
        <f>CupDraw!I8</f>
        <v>4</v>
      </c>
      <c r="C9" s="71" t="str">
        <f>IF(CupDraw!J8="","",CupDraw!J8)</f>
        <v>Stephen Barr</v>
      </c>
      <c r="D9" s="72" t="str">
        <f>IF(CupDraw!K8="","",CupDraw!K8)</f>
        <v/>
      </c>
      <c r="E9" s="81" t="str">
        <f>IF(CupDraw!L8="","",CupDraw!L8)</f>
        <v/>
      </c>
      <c r="F9" s="75"/>
      <c r="G9" s="58"/>
      <c r="H9" s="84">
        <f>CupDraw!O8</f>
        <v>4</v>
      </c>
      <c r="I9" s="68" t="str">
        <f>IF(CupDraw!P8="","",CupDraw!P8)</f>
        <v>Stephen Barr</v>
      </c>
      <c r="J9" s="72">
        <f>IF(CupDraw!Q8="","",CupDraw!Q8)</f>
        <v>-3.4</v>
      </c>
      <c r="K9" s="81" t="str">
        <f>IF(CupDraw!R8="","",CupDraw!R8)</f>
        <v/>
      </c>
      <c r="L9" s="78"/>
      <c r="M9" s="58"/>
      <c r="N9" s="60">
        <f>CupDraw!U8</f>
        <v>4</v>
      </c>
      <c r="O9" s="68" t="str">
        <f>CupDraw!V8</f>
        <v>Mo Sudell</v>
      </c>
      <c r="P9" s="72">
        <f>IF(CupDraw!W8="","",CupDraw!W8)</f>
        <v>-5.7</v>
      </c>
      <c r="Q9" s="81" t="str">
        <f>IF(CupDraw!X8="","",CupDraw!X8)</f>
        <v/>
      </c>
      <c r="R9" s="78"/>
      <c r="S9" s="58"/>
      <c r="T9" s="60">
        <f>CupDraw!AA8</f>
        <v>4</v>
      </c>
      <c r="U9" s="68" t="str">
        <f>CupDraw!AB8</f>
        <v>Mark Bunn</v>
      </c>
      <c r="V9" s="91">
        <f>IF(CupDraw!AC8="","",CupDraw!AC8)</f>
        <v>-7</v>
      </c>
      <c r="W9" s="73" t="str">
        <f>CupDraw!AD8</f>
        <v/>
      </c>
      <c r="X9" s="78"/>
      <c r="Y9" s="60">
        <f>CupDraw!AG8</f>
        <v>4</v>
      </c>
      <c r="Z9" s="68" t="str">
        <f>CupDraw!AH8</f>
        <v>Paul Barnes</v>
      </c>
      <c r="AA9" s="72">
        <f>CupDraw!AI8</f>
        <v>-5.15</v>
      </c>
      <c r="AB9" s="73" t="str">
        <f>IF(CupDraw!AJ8="","",CupDraw!AJ8)</f>
        <v/>
      </c>
      <c r="AC9" s="76"/>
      <c r="AD9" s="683"/>
      <c r="AE9" s="68" t="str">
        <f>IF(CupDraw!AN8="","",CupDraw!AN8)</f>
        <v/>
      </c>
      <c r="AF9" s="91" t="str">
        <f>IF(CupDraw!AO8="","",CupDraw!AO8)</f>
        <v/>
      </c>
      <c r="AG9" s="81" t="str">
        <f>CupDraw!AP8</f>
        <v/>
      </c>
      <c r="AH9" s="76"/>
      <c r="AI9" s="684"/>
      <c r="AJ9" s="68" t="str">
        <f>IF(CupDraw!AT8="","",CupDraw!AT8)</f>
        <v/>
      </c>
      <c r="AK9" s="69" t="str">
        <f>IF(CupDraw!AU8="","",CupDraw!AU8)</f>
        <v/>
      </c>
      <c r="AL9" s="61" t="str">
        <f>IF(CupDraw!AV8="","",CupDraw!AV8)</f>
        <v/>
      </c>
      <c r="AM9" s="76"/>
      <c r="AN9" s="76"/>
      <c r="AO9" s="76"/>
      <c r="AP9" s="76"/>
      <c r="AQ9" s="76"/>
      <c r="AR9" s="76"/>
      <c r="AS9" s="76"/>
      <c r="AT9" s="76"/>
      <c r="AU9" s="76"/>
      <c r="AV9" s="76"/>
      <c r="AW9" s="76"/>
      <c r="AX9" s="76"/>
      <c r="AY9" s="76"/>
      <c r="AZ9" s="76"/>
      <c r="BA9" s="76"/>
      <c r="BB9" s="76"/>
      <c r="BC9" s="76"/>
      <c r="BD9" s="76"/>
      <c r="BE9" s="76"/>
      <c r="BF9" s="76"/>
    </row>
    <row r="10" spans="1:58">
      <c r="B10" s="83"/>
      <c r="C10" s="71" t="str">
        <f>IF(CupDraw!J9="","",CupDraw!J9)</f>
        <v>Steve Carter</v>
      </c>
      <c r="D10" s="72" t="str">
        <f>IF(CupDraw!K9="","",CupDraw!K9)</f>
        <v/>
      </c>
      <c r="E10" s="124" t="str">
        <f>IF(CupDraw!L9="","",CupDraw!L9)</f>
        <v/>
      </c>
      <c r="F10" s="75"/>
      <c r="G10" s="58"/>
      <c r="H10" s="83"/>
      <c r="I10" s="68" t="str">
        <f>IF(CupDraw!P9="","",CupDraw!P9)</f>
        <v>Steve Carter</v>
      </c>
      <c r="J10" s="72">
        <f>IF(CupDraw!Q9="","",CupDraw!Q9)</f>
        <v>-4.5999999999999996</v>
      </c>
      <c r="K10" s="61" t="str">
        <f>IF(CupDraw!R9="","",CupDraw!R9)</f>
        <v/>
      </c>
      <c r="L10" s="78"/>
      <c r="M10" s="58"/>
      <c r="N10" s="63"/>
      <c r="O10" s="68" t="str">
        <f>CupDraw!V9</f>
        <v>Paul Adderley</v>
      </c>
      <c r="P10" s="72">
        <f>IF(CupDraw!W9="","",CupDraw!W9)</f>
        <v>-4.7</v>
      </c>
      <c r="Q10" s="64" t="str">
        <f>IF(CupDraw!X9="","",CupDraw!X9)</f>
        <v/>
      </c>
      <c r="R10" s="78"/>
      <c r="S10" s="58"/>
      <c r="T10" s="63"/>
      <c r="U10" s="68" t="str">
        <f>CupDraw!AB9</f>
        <v>Martin Tarbuck</v>
      </c>
      <c r="V10" s="91">
        <f>IF(CupDraw!AC9="","",CupDraw!AC9)</f>
        <v>-10</v>
      </c>
      <c r="W10" s="64"/>
      <c r="X10" s="78"/>
      <c r="Y10" s="67"/>
      <c r="Z10" s="68" t="str">
        <f>CupDraw!AH9</f>
        <v>Mike Penk</v>
      </c>
      <c r="AA10" s="72">
        <f>CupDraw!AI9</f>
        <v>-10</v>
      </c>
      <c r="AB10" s="124" t="str">
        <f>IF(CupDraw!AJ9="","",CupDraw!AJ9)</f>
        <v/>
      </c>
      <c r="AC10" s="76"/>
      <c r="AD10" s="684"/>
      <c r="AE10" s="68" t="str">
        <f>IF(CupDraw!AN9="","",CupDraw!AN9)</f>
        <v/>
      </c>
      <c r="AF10" s="91" t="str">
        <f>IF(CupDraw!AO9="","",CupDraw!AO9)</f>
        <v/>
      </c>
      <c r="AG10" s="61"/>
      <c r="AH10" s="76"/>
      <c r="AI10" s="685"/>
      <c r="AJ10" s="68" t="str">
        <f>IF(CupDraw!AT9="","",CupDraw!AT9)</f>
        <v/>
      </c>
      <c r="AK10" s="69" t="str">
        <f>IF(CupDraw!AU9="","",CupDraw!AU9)</f>
        <v/>
      </c>
      <c r="AL10" s="81" t="str">
        <f>IF(CupDraw!AV9="","",CupDraw!AV9)</f>
        <v/>
      </c>
      <c r="AM10" s="76"/>
      <c r="AN10" s="76"/>
      <c r="AO10" s="76"/>
      <c r="AP10" s="76"/>
      <c r="AQ10" s="76"/>
      <c r="AR10" s="76"/>
      <c r="AS10" s="76"/>
      <c r="AT10" s="76"/>
      <c r="AU10" s="76"/>
      <c r="AV10" s="76"/>
      <c r="AW10" s="76"/>
      <c r="AX10" s="76"/>
      <c r="AY10" s="76"/>
      <c r="AZ10" s="76"/>
      <c r="BA10" s="76"/>
      <c r="BB10" s="76"/>
      <c r="BC10" s="76"/>
      <c r="BD10" s="76"/>
      <c r="BE10" s="76"/>
      <c r="BF10" s="76"/>
    </row>
    <row r="11" spans="1:58">
      <c r="B11" s="84">
        <f>CupDraw!I10</f>
        <v>5</v>
      </c>
      <c r="C11" s="71" t="str">
        <f>IF(CupDraw!J10="","",CupDraw!J10)</f>
        <v>Vinny Topping</v>
      </c>
      <c r="D11" s="72" t="str">
        <f>IF(CupDraw!K10="","",CupDraw!K10)</f>
        <v/>
      </c>
      <c r="E11" s="81" t="str">
        <f>IF(CupDraw!L10="","",CupDraw!L10)</f>
        <v/>
      </c>
      <c r="F11" s="75"/>
      <c r="G11" s="58"/>
      <c r="H11" s="84">
        <f>CupDraw!O10</f>
        <v>5</v>
      </c>
      <c r="I11" s="68" t="str">
        <f>IF(CupDraw!P10="","",CupDraw!P10)</f>
        <v>Vinny Topping</v>
      </c>
      <c r="J11" s="72">
        <f>IF(CupDraw!Q10="","",CupDraw!Q10)</f>
        <v>-0.72727272727272663</v>
      </c>
      <c r="K11" s="81" t="str">
        <f>IF(CupDraw!R10="","",CupDraw!R10)</f>
        <v/>
      </c>
      <c r="L11" s="78"/>
      <c r="M11" s="58"/>
      <c r="N11" s="60">
        <f>CupDraw!U10</f>
        <v>5</v>
      </c>
      <c r="O11" s="68" t="str">
        <f>CupDraw!V10</f>
        <v>Lennie Bow</v>
      </c>
      <c r="P11" s="72">
        <f>IF(CupDraw!W10="","",CupDraw!W10)</f>
        <v>-5.4285714285714288</v>
      </c>
      <c r="Q11" s="81" t="str">
        <f>IF(CupDraw!X10="","",CupDraw!X10)</f>
        <v/>
      </c>
      <c r="R11" s="78"/>
      <c r="S11" s="58"/>
      <c r="T11" s="60">
        <f>CupDraw!AA10</f>
        <v>5</v>
      </c>
      <c r="U11" s="68" t="str">
        <f>CupDraw!AB10</f>
        <v>Howard Bradley</v>
      </c>
      <c r="V11" s="91">
        <f>IF(CupDraw!AC10="","",CupDraw!AC10)</f>
        <v>-1.75</v>
      </c>
      <c r="W11" s="73" t="str">
        <f>CupDraw!AD10</f>
        <v/>
      </c>
      <c r="X11" s="78"/>
      <c r="Y11" s="76"/>
      <c r="Z11" s="76"/>
      <c r="AA11" s="87"/>
      <c r="AB11" s="76"/>
      <c r="AC11" s="76"/>
      <c r="AD11" s="82"/>
      <c r="AE11" s="68" t="str">
        <f>IF(CupDraw!AN10="","",CupDraw!AN10)</f>
        <v/>
      </c>
      <c r="AF11" s="91" t="str">
        <f>IF(CupDraw!AO10="","",CupDraw!AO10)</f>
        <v/>
      </c>
      <c r="AG11" s="81" t="str">
        <f>CupDraw!AP10</f>
        <v/>
      </c>
      <c r="AH11" s="76"/>
      <c r="AI11" s="686"/>
      <c r="AJ11" s="68" t="str">
        <f>IF(CupDraw!AT10="","",CupDraw!AT10)</f>
        <v/>
      </c>
      <c r="AK11" s="69" t="str">
        <f>IF(CupDraw!AU10="","",CupDraw!AU10)</f>
        <v/>
      </c>
      <c r="AL11" s="61" t="str">
        <f>IF(CupDraw!AV10="","",CupDraw!AV10)</f>
        <v/>
      </c>
      <c r="AM11" s="76"/>
      <c r="AN11" s="76"/>
      <c r="AO11" s="76"/>
      <c r="AP11" s="76"/>
      <c r="AQ11" s="76"/>
      <c r="AR11" s="76"/>
      <c r="AS11" s="76"/>
      <c r="AT11" s="76"/>
      <c r="AU11" s="76"/>
      <c r="AV11" s="76"/>
      <c r="AW11" s="76"/>
      <c r="AX11" s="76"/>
      <c r="AY11" s="76"/>
      <c r="AZ11" s="76"/>
      <c r="BA11" s="76"/>
      <c r="BB11" s="76"/>
      <c r="BC11" s="76"/>
      <c r="BD11" s="76"/>
      <c r="BE11" s="76"/>
      <c r="BF11" s="76"/>
    </row>
    <row r="12" spans="1:58">
      <c r="B12" s="83"/>
      <c r="C12" s="71" t="str">
        <f>IF(CupDraw!J11="","",CupDraw!J11)</f>
        <v>Martin Molyneux</v>
      </c>
      <c r="D12" s="72" t="str">
        <f>IF(CupDraw!K11="","",CupDraw!K11)</f>
        <v/>
      </c>
      <c r="E12" s="124" t="str">
        <f>IF(CupDraw!L11="","",CupDraw!L11)</f>
        <v/>
      </c>
      <c r="F12" s="75"/>
      <c r="G12" s="58"/>
      <c r="H12" s="83"/>
      <c r="I12" s="68" t="str">
        <f>IF(CupDraw!P11="","",CupDraw!P11)</f>
        <v>Martin Molyneux</v>
      </c>
      <c r="J12" s="72">
        <f>IF(CupDraw!Q11="","",CupDraw!Q11)</f>
        <v>-4.9000000000000004</v>
      </c>
      <c r="K12" s="61" t="str">
        <f>IF(CupDraw!R11="","",CupDraw!R11)</f>
        <v/>
      </c>
      <c r="L12" s="78"/>
      <c r="M12" s="58"/>
      <c r="N12" s="63"/>
      <c r="O12" s="68" t="str">
        <f>CupDraw!V11</f>
        <v>David Dunn</v>
      </c>
      <c r="P12" s="72">
        <f>IF(CupDraw!W11="","",CupDraw!W11)</f>
        <v>44</v>
      </c>
      <c r="Q12" s="64" t="str">
        <f>IF(CupDraw!X11="","",CupDraw!X11)</f>
        <v/>
      </c>
      <c r="R12" s="78"/>
      <c r="S12" s="58"/>
      <c r="T12" s="63"/>
      <c r="U12" s="68" t="str">
        <f>CupDraw!AB11</f>
        <v>Gerard Ventom</v>
      </c>
      <c r="V12" s="91">
        <f>IF(CupDraw!AC11="","",CupDraw!AC11)</f>
        <v>-4.25</v>
      </c>
      <c r="W12" s="64"/>
      <c r="X12" s="78"/>
      <c r="Y12" s="76"/>
      <c r="Z12" s="76"/>
      <c r="AA12" s="87"/>
      <c r="AB12" s="76"/>
      <c r="AC12" s="76"/>
      <c r="AD12" s="83"/>
      <c r="AE12" s="68" t="str">
        <f>IF(CupDraw!AN11="","",CupDraw!AN11)</f>
        <v/>
      </c>
      <c r="AF12" s="91" t="str">
        <f>IF(CupDraw!AO11="","",CupDraw!AO11)</f>
        <v/>
      </c>
      <c r="AG12" s="61"/>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row>
    <row r="13" spans="1:58">
      <c r="B13" s="84">
        <f>CupDraw!I12</f>
        <v>6</v>
      </c>
      <c r="C13" s="71" t="str">
        <f>IF(CupDraw!J12="","",CupDraw!J12)</f>
        <v>Nigel Heyes</v>
      </c>
      <c r="D13" s="72" t="str">
        <f>IF(CupDraw!K12="","",CupDraw!K12)</f>
        <v/>
      </c>
      <c r="E13" s="81" t="str">
        <f>IF(CupDraw!L12="","",CupDraw!L12)</f>
        <v/>
      </c>
      <c r="F13" s="75"/>
      <c r="G13" s="58"/>
      <c r="H13" s="84">
        <f>CupDraw!O12</f>
        <v>6</v>
      </c>
      <c r="I13" s="68" t="str">
        <f>IF(CupDraw!P12="","",CupDraw!P12)</f>
        <v>Nigel Heyes</v>
      </c>
      <c r="J13" s="72">
        <f>IF(CupDraw!Q12="","",CupDraw!Q12)</f>
        <v>30.327272727272728</v>
      </c>
      <c r="K13" s="81" t="str">
        <f>IF(CupDraw!R12="","",CupDraw!R12)</f>
        <v/>
      </c>
      <c r="L13" s="78"/>
      <c r="M13" s="58"/>
      <c r="N13" s="60">
        <f>CupDraw!U12</f>
        <v>6</v>
      </c>
      <c r="O13" s="68" t="str">
        <f>CupDraw!V12</f>
        <v>Nick Blocksidge</v>
      </c>
      <c r="P13" s="72">
        <f>IF(CupDraw!W12="","",CupDraw!W12)</f>
        <v>-7</v>
      </c>
      <c r="Q13" s="81" t="str">
        <f>IF(CupDraw!X12="","",CupDraw!X12)</f>
        <v/>
      </c>
      <c r="R13" s="78"/>
      <c r="S13" s="58"/>
      <c r="T13" s="60">
        <f>CupDraw!AA12</f>
        <v>6</v>
      </c>
      <c r="U13" s="68" t="str">
        <f>CupDraw!AB12</f>
        <v>Dave Orrell</v>
      </c>
      <c r="V13" s="91">
        <f>IF(CupDraw!AC12="","",CupDraw!AC12)</f>
        <v>-5.3</v>
      </c>
      <c r="W13" s="73" t="str">
        <f>CupDraw!AD12</f>
        <v/>
      </c>
      <c r="X13" s="78"/>
      <c r="Y13" s="58" t="str">
        <f>CupDraw!AG12</f>
        <v>Earlier drawn ties</v>
      </c>
      <c r="Z13" s="58"/>
      <c r="AA13" s="86"/>
      <c r="AB13" s="58"/>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row>
    <row r="14" spans="1:58">
      <c r="B14" s="83"/>
      <c r="C14" s="71" t="str">
        <f>IF(CupDraw!J13="","",CupDraw!J13)</f>
        <v>Alan Bond</v>
      </c>
      <c r="D14" s="72" t="str">
        <f>IF(CupDraw!K13="","",CupDraw!K13)</f>
        <v/>
      </c>
      <c r="E14" s="124" t="str">
        <f>IF(CupDraw!L13="","",CupDraw!L13)</f>
        <v/>
      </c>
      <c r="F14" s="75"/>
      <c r="G14" s="58"/>
      <c r="H14" s="83"/>
      <c r="I14" s="68" t="str">
        <f>IF(CupDraw!P13="","",CupDraw!P13)</f>
        <v>Alan Bond</v>
      </c>
      <c r="J14" s="72">
        <f>IF(CupDraw!Q13="","",CupDraw!Q13)</f>
        <v>-3.4</v>
      </c>
      <c r="K14" s="61" t="str">
        <f>IF(CupDraw!R13="","",CupDraw!R13)</f>
        <v/>
      </c>
      <c r="L14" s="78"/>
      <c r="M14" s="58"/>
      <c r="N14" s="63"/>
      <c r="O14" s="68" t="str">
        <f>CupDraw!V13</f>
        <v>Chris Luck</v>
      </c>
      <c r="P14" s="72">
        <f>IF(CupDraw!W13="","",CupDraw!W13)</f>
        <v>3.1999999999999993</v>
      </c>
      <c r="Q14" s="64" t="str">
        <f>IF(CupDraw!X13="","",CupDraw!X13)</f>
        <v/>
      </c>
      <c r="R14" s="78"/>
      <c r="S14" s="58"/>
      <c r="T14" s="63"/>
      <c r="U14" s="68" t="str">
        <f>CupDraw!AB13</f>
        <v>Gareth Powell</v>
      </c>
      <c r="V14" s="91">
        <f>IF(CupDraw!AC13="","",CupDraw!AC13)</f>
        <v>-3.2</v>
      </c>
      <c r="W14" s="64"/>
      <c r="X14" s="78"/>
      <c r="Y14" s="60"/>
      <c r="Z14" s="70" t="str">
        <f>IF(CupDraw!AH13="","",CupDraw!AH13)</f>
        <v>Rob England</v>
      </c>
      <c r="AA14" s="72">
        <f>IF(CupDraw!AI13="","",CupDraw!AI13)</f>
        <v>-5.1538461538461533</v>
      </c>
      <c r="AB14" s="81" t="str">
        <f>IF(CupDraw!AJ13="","",CupDraw!AJ13)</f>
        <v>R</v>
      </c>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row>
    <row r="15" spans="1:58">
      <c r="B15" s="84">
        <f>CupDraw!I14</f>
        <v>7</v>
      </c>
      <c r="C15" s="71" t="str">
        <f>IF(CupDraw!J14="","",CupDraw!J14)</f>
        <v>Julie Dodd</v>
      </c>
      <c r="D15" s="72" t="str">
        <f>IF(CupDraw!K14="","",CupDraw!K14)</f>
        <v/>
      </c>
      <c r="E15" s="81" t="str">
        <f>IF(CupDraw!L14="","",CupDraw!L14)</f>
        <v/>
      </c>
      <c r="F15" s="75"/>
      <c r="G15" s="58"/>
      <c r="H15" s="84">
        <f>CupDraw!O14</f>
        <v>7</v>
      </c>
      <c r="I15" s="68" t="str">
        <f>IF(CupDraw!P14="","",CupDraw!P14)</f>
        <v>Julie Dodd</v>
      </c>
      <c r="J15" s="72">
        <f>IF(CupDraw!Q14="","",CupDraw!Q14)</f>
        <v>-10</v>
      </c>
      <c r="K15" s="81" t="str">
        <f>IF(CupDraw!R14="","",CupDraw!R14)</f>
        <v/>
      </c>
      <c r="L15" s="78"/>
      <c r="M15" s="58"/>
      <c r="N15" s="60">
        <f>CupDraw!U14</f>
        <v>7</v>
      </c>
      <c r="O15" s="68" t="str">
        <f>CupDraw!V14</f>
        <v>Mark Bunn</v>
      </c>
      <c r="P15" s="72">
        <f>IF(CupDraw!W14="","",CupDraw!W14)</f>
        <v>-4.55</v>
      </c>
      <c r="Q15" s="81" t="str">
        <f>IF(CupDraw!X14="","",CupDraw!X14)</f>
        <v/>
      </c>
      <c r="R15" s="78"/>
      <c r="S15" s="58"/>
      <c r="T15" s="60">
        <f>CupDraw!AA14</f>
        <v>7</v>
      </c>
      <c r="U15" s="68" t="str">
        <f>CupDraw!AB14</f>
        <v>Paul Barnes</v>
      </c>
      <c r="V15" s="91">
        <f>IF(CupDraw!AC14="","",CupDraw!AC14)</f>
        <v>-0.30499999999999972</v>
      </c>
      <c r="W15" s="73" t="str">
        <f>CupDraw!AD14</f>
        <v/>
      </c>
      <c r="X15" s="78"/>
      <c r="Y15" s="63"/>
      <c r="Z15" s="70" t="str">
        <f>IF(CupDraw!AH14="","",CupDraw!AH14)</f>
        <v>Nigel Heyes</v>
      </c>
      <c r="AA15" s="72">
        <f>IF(CupDraw!AI14="","",CupDraw!AI14)</f>
        <v>-5.1538461538461533</v>
      </c>
      <c r="AB15" s="64" t="str">
        <f>IF(CupDraw!AJ14="","",CupDraw!AJ14)</f>
        <v/>
      </c>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row>
    <row r="16" spans="1:58">
      <c r="B16" s="83"/>
      <c r="C16" s="71" t="str">
        <f>IF(CupDraw!J15="","",CupDraw!J15)</f>
        <v>Mo Sudell</v>
      </c>
      <c r="D16" s="72" t="str">
        <f>IF(CupDraw!K15="","",CupDraw!K15)</f>
        <v/>
      </c>
      <c r="E16" s="124" t="str">
        <f>IF(CupDraw!L15="","",CupDraw!L15)</f>
        <v/>
      </c>
      <c r="F16" s="75"/>
      <c r="G16" s="58"/>
      <c r="H16" s="83"/>
      <c r="I16" s="68" t="str">
        <f>IF(CupDraw!P15="","",CupDraw!P15)</f>
        <v>Mo Sudell</v>
      </c>
      <c r="J16" s="72">
        <f>IF(CupDraw!Q15="","",CupDraw!Q15)</f>
        <v>0.72727272727272751</v>
      </c>
      <c r="K16" s="61" t="str">
        <f>IF(CupDraw!R15="","",CupDraw!R15)</f>
        <v/>
      </c>
      <c r="L16" s="78"/>
      <c r="M16" s="58"/>
      <c r="N16" s="63"/>
      <c r="O16" s="68" t="str">
        <f>CupDraw!V15</f>
        <v>Alfie Davies</v>
      </c>
      <c r="P16" s="72">
        <f>IF(CupDraw!W15="","",CupDraw!W15)</f>
        <v>-4.7</v>
      </c>
      <c r="Q16" s="64" t="str">
        <f>IF(CupDraw!X15="","",CupDraw!X15)</f>
        <v/>
      </c>
      <c r="R16" s="78"/>
      <c r="S16" s="58"/>
      <c r="T16" s="63"/>
      <c r="U16" s="68" t="str">
        <f>CupDraw!AB15</f>
        <v>Dave Bell</v>
      </c>
      <c r="V16" s="91">
        <f>IF(CupDraw!AC15="","",CupDraw!AC15)</f>
        <v>-5.3</v>
      </c>
      <c r="W16" s="64"/>
      <c r="X16" s="78"/>
      <c r="Y16" s="60"/>
      <c r="Z16" s="62" t="str">
        <f>IF(CupDraw!AH15="","",CupDraw!AH15)</f>
        <v/>
      </c>
      <c r="AA16" s="72" t="str">
        <f>IF(CupDraw!AI15="","",CupDraw!AI15)</f>
        <v/>
      </c>
      <c r="AB16" s="81" t="str">
        <f>IF(CupDraw!AJ15="","",CupDraw!AJ15)</f>
        <v/>
      </c>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row>
    <row r="17" spans="2:58">
      <c r="B17" s="84">
        <f>CupDraw!I16</f>
        <v>8</v>
      </c>
      <c r="C17" s="71" t="str">
        <f>IF(CupDraw!J16="","",CupDraw!J16)</f>
        <v>Paul Adderley</v>
      </c>
      <c r="D17" s="72" t="str">
        <f>IF(CupDraw!K16="","",CupDraw!K16)</f>
        <v/>
      </c>
      <c r="E17" s="81" t="str">
        <f>IF(CupDraw!L16="","",CupDraw!L16)</f>
        <v/>
      </c>
      <c r="F17" s="75"/>
      <c r="G17" s="58"/>
      <c r="H17" s="84">
        <f>CupDraw!O16</f>
        <v>8</v>
      </c>
      <c r="I17" s="68" t="str">
        <f>IF(CupDraw!P16="","",CupDraw!P16)</f>
        <v>Paul Adderley</v>
      </c>
      <c r="J17" s="72">
        <f>IF(CupDraw!Q16="","",CupDraw!Q16)</f>
        <v>-1.5</v>
      </c>
      <c r="K17" s="81" t="str">
        <f>IF(CupDraw!R16="","",CupDraw!R16)</f>
        <v/>
      </c>
      <c r="L17" s="78"/>
      <c r="M17" s="58"/>
      <c r="N17" s="60">
        <f>CupDraw!U16</f>
        <v>8</v>
      </c>
      <c r="O17" s="68" t="str">
        <f>CupDraw!V16</f>
        <v>Martin Tarbuck</v>
      </c>
      <c r="P17" s="72">
        <f>IF(CupDraw!W16="","",CupDraw!W16)</f>
        <v>-5.0909090909090908</v>
      </c>
      <c r="Q17" s="81" t="str">
        <f>IF(CupDraw!X16="","",CupDraw!X16)</f>
        <v/>
      </c>
      <c r="R17" s="78"/>
      <c r="S17" s="58"/>
      <c r="T17" s="60">
        <f>CupDraw!AA16</f>
        <v>8</v>
      </c>
      <c r="U17" s="68" t="str">
        <f>CupDraw!AB16</f>
        <v>Frank Allen</v>
      </c>
      <c r="V17" s="91">
        <f>IF(CupDraw!AC16="","",CupDraw!AC16)</f>
        <v>-10</v>
      </c>
      <c r="W17" s="73" t="str">
        <f>CupDraw!AD16</f>
        <v/>
      </c>
      <c r="X17" s="78"/>
      <c r="Y17" s="67"/>
      <c r="Z17" s="62" t="str">
        <f>IF(CupDraw!AH16="","",CupDraw!AH16)</f>
        <v/>
      </c>
      <c r="AA17" s="72" t="str">
        <f>IF(CupDraw!AI16="","",CupDraw!AI16)</f>
        <v/>
      </c>
      <c r="AB17" s="61" t="str">
        <f>IF(CupDraw!AJ16="","",CupDraw!AJ16)</f>
        <v/>
      </c>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row>
    <row r="18" spans="2:58">
      <c r="B18" s="83"/>
      <c r="C18" s="71" t="str">
        <f>IF(CupDraw!J17="","",CupDraw!J17)</f>
        <v>Ben Rosser</v>
      </c>
      <c r="D18" s="72" t="str">
        <f>IF(CupDraw!K17="","",CupDraw!K17)</f>
        <v/>
      </c>
      <c r="E18" s="124" t="str">
        <f>IF(CupDraw!L17="","",CupDraw!L17)</f>
        <v/>
      </c>
      <c r="F18" s="75"/>
      <c r="G18" s="58"/>
      <c r="H18" s="83"/>
      <c r="I18" s="68" t="str">
        <f>IF(CupDraw!P17="","",CupDraw!P17)</f>
        <v>Ben Rosser</v>
      </c>
      <c r="J18" s="72">
        <f>IF(CupDraw!Q17="","",CupDraw!Q17)</f>
        <v>-7</v>
      </c>
      <c r="K18" s="61" t="str">
        <f>IF(CupDraw!R17="","",CupDraw!R17)</f>
        <v/>
      </c>
      <c r="L18" s="78"/>
      <c r="M18" s="58"/>
      <c r="N18" s="63"/>
      <c r="O18" s="68" t="str">
        <f>CupDraw!V17</f>
        <v>Alan White</v>
      </c>
      <c r="P18" s="72">
        <f>IF(CupDraw!W17="","",CupDraw!W17)</f>
        <v>-5.15</v>
      </c>
      <c r="Q18" s="64" t="str">
        <f>IF(CupDraw!X17="","",CupDraw!X17)</f>
        <v/>
      </c>
      <c r="R18" s="78"/>
      <c r="S18" s="58"/>
      <c r="T18" s="67"/>
      <c r="U18" s="68" t="str">
        <f>CupDraw!AB17</f>
        <v>Mike Penk</v>
      </c>
      <c r="V18" s="91">
        <f>IF(CupDraw!AC17="","",CupDraw!AC17)</f>
        <v>-0.90666666666666718</v>
      </c>
      <c r="W18" s="61"/>
      <c r="X18" s="78"/>
      <c r="Y18" s="60"/>
      <c r="Z18" s="70" t="str">
        <f>IF(CupDraw!AH17="","",CupDraw!AH17)</f>
        <v/>
      </c>
      <c r="AA18" s="72" t="str">
        <f>IF(CupDraw!AI17="","",CupDraw!AI17)</f>
        <v/>
      </c>
      <c r="AB18" s="81" t="str">
        <f>IF(CupDraw!AJ17="","",CupDraw!AJ17)</f>
        <v/>
      </c>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row>
    <row r="19" spans="2:58">
      <c r="B19" s="84">
        <f>CupDraw!I18</f>
        <v>9</v>
      </c>
      <c r="C19" s="71" t="str">
        <f>IF(CupDraw!J18="","",CupDraw!J18)</f>
        <v>Lennie Bow</v>
      </c>
      <c r="D19" s="72" t="str">
        <f>IF(CupDraw!K18="","",CupDraw!K18)</f>
        <v/>
      </c>
      <c r="E19" s="81" t="str">
        <f>IF(CupDraw!L18="","",CupDraw!L18)</f>
        <v/>
      </c>
      <c r="F19" s="75"/>
      <c r="G19" s="58"/>
      <c r="H19" s="84">
        <f>CupDraw!O18</f>
        <v>9</v>
      </c>
      <c r="I19" s="68" t="str">
        <f>IF(CupDraw!P18="","",CupDraw!P18)</f>
        <v>Lennie Bow</v>
      </c>
      <c r="J19" s="72">
        <f>IF(CupDraw!Q18="","",CupDraw!Q18)</f>
        <v>1.9090909090909101</v>
      </c>
      <c r="K19" s="81" t="str">
        <f>IF(CupDraw!R18="","",CupDraw!R18)</f>
        <v/>
      </c>
      <c r="L19" s="78"/>
      <c r="M19" s="58"/>
      <c r="N19" s="60">
        <f>CupDraw!U18</f>
        <v>9</v>
      </c>
      <c r="O19" s="68" t="str">
        <f>CupDraw!V18</f>
        <v>John Murphy</v>
      </c>
      <c r="P19" s="72">
        <f>IF(CupDraw!W18="","",CupDraw!W18)</f>
        <v>-10</v>
      </c>
      <c r="Q19" s="81" t="str">
        <f>IF(CupDraw!X18="","",CupDraw!X18)</f>
        <v/>
      </c>
      <c r="R19" s="78"/>
      <c r="S19" s="58"/>
      <c r="T19" s="58"/>
      <c r="U19" s="58"/>
      <c r="V19" s="58"/>
      <c r="W19" s="58"/>
      <c r="X19" s="80"/>
      <c r="Y19" s="63"/>
      <c r="Z19" s="70" t="str">
        <f>IF(CupDraw!AH18="","",CupDraw!AH18)</f>
        <v/>
      </c>
      <c r="AA19" s="72" t="str">
        <f>IF(CupDraw!AI18="","",CupDraw!AI18)</f>
        <v/>
      </c>
      <c r="AB19" s="64" t="str">
        <f>IF(CupDraw!AJ18="","",CupDraw!AJ18)</f>
        <v/>
      </c>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row>
    <row r="20" spans="2:58">
      <c r="B20" s="83"/>
      <c r="C20" s="71" t="str">
        <f>IF(CupDraw!J19="","",CupDraw!J19)</f>
        <v>Charlie Griffiths</v>
      </c>
      <c r="D20" s="72" t="str">
        <f>IF(CupDraw!K19="","",CupDraw!K19)</f>
        <v/>
      </c>
      <c r="E20" s="124" t="str">
        <f>IF(CupDraw!L19="","",CupDraw!L19)</f>
        <v/>
      </c>
      <c r="F20" s="75"/>
      <c r="G20" s="58"/>
      <c r="H20" s="83"/>
      <c r="I20" s="68" t="str">
        <f>IF(CupDraw!P19="","",CupDraw!P19)</f>
        <v>Charlie Griffiths</v>
      </c>
      <c r="J20" s="72">
        <f>IF(CupDraw!Q19="","",CupDraw!Q19)</f>
        <v>-3</v>
      </c>
      <c r="K20" s="61" t="str">
        <f>IF(CupDraw!R19="","",CupDraw!R19)</f>
        <v/>
      </c>
      <c r="L20" s="78"/>
      <c r="M20" s="58"/>
      <c r="N20" s="63"/>
      <c r="O20" s="68" t="str">
        <f>CupDraw!V19</f>
        <v>Howard Bradley</v>
      </c>
      <c r="P20" s="72">
        <f>IF(CupDraw!W19="","",CupDraw!W19)</f>
        <v>-5.4285714285714288</v>
      </c>
      <c r="Q20" s="64" t="str">
        <f>IF(CupDraw!X19="","",CupDraw!X19)</f>
        <v/>
      </c>
      <c r="R20" s="78"/>
      <c r="S20" s="58"/>
      <c r="T20" s="58"/>
      <c r="U20" s="58"/>
      <c r="V20" s="58"/>
      <c r="W20" s="58"/>
      <c r="X20" s="80"/>
      <c r="Y20" s="60"/>
      <c r="Z20" s="62" t="str">
        <f>IF(CupDraw!AH19="","",CupDraw!AH19)</f>
        <v/>
      </c>
      <c r="AA20" s="72" t="str">
        <f>IF(CupDraw!AI19="","",CupDraw!AI19)</f>
        <v/>
      </c>
      <c r="AB20" s="81" t="str">
        <f>IF(CupDraw!AJ19="","",CupDraw!AJ19)</f>
        <v/>
      </c>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row>
    <row r="21" spans="2:58">
      <c r="B21" s="84">
        <f>CupDraw!I20</f>
        <v>10</v>
      </c>
      <c r="C21" s="71" t="str">
        <f>IF(CupDraw!J20="","",CupDraw!J20)</f>
        <v>Chris Griffin</v>
      </c>
      <c r="D21" s="72" t="str">
        <f>IF(CupDraw!K20="","",CupDraw!K20)</f>
        <v/>
      </c>
      <c r="E21" s="81" t="str">
        <f>IF(CupDraw!L20="","",CupDraw!L20)</f>
        <v/>
      </c>
      <c r="F21" s="75"/>
      <c r="G21" s="58"/>
      <c r="H21" s="84">
        <f>CupDraw!O20</f>
        <v>10</v>
      </c>
      <c r="I21" s="68" t="str">
        <f>IF(CupDraw!P20="","",CupDraw!P20)</f>
        <v>Chris Griffin</v>
      </c>
      <c r="J21" s="72">
        <f>IF(CupDraw!Q20="","",CupDraw!Q20)</f>
        <v>2.8727272727272748</v>
      </c>
      <c r="K21" s="81" t="str">
        <f>IF(CupDraw!R20="","",CupDraw!R20)</f>
        <v/>
      </c>
      <c r="L21" s="78"/>
      <c r="M21" s="58"/>
      <c r="N21" s="60">
        <f>CupDraw!U20</f>
        <v>10</v>
      </c>
      <c r="O21" s="68" t="str">
        <f>CupDraw!V20</f>
        <v>Gerard Ventom</v>
      </c>
      <c r="P21" s="72">
        <f>IF(CupDraw!W20="","",CupDraw!W20)</f>
        <v>6.08</v>
      </c>
      <c r="Q21" s="81" t="str">
        <f>IF(CupDraw!X20="","",CupDraw!X20)</f>
        <v/>
      </c>
      <c r="R21" s="78"/>
      <c r="S21" s="58"/>
      <c r="T21" s="58"/>
      <c r="U21" s="58"/>
      <c r="V21" s="58"/>
      <c r="W21" s="58"/>
      <c r="X21" s="80"/>
      <c r="Y21" s="67"/>
      <c r="Z21" s="62" t="str">
        <f>IF(CupDraw!AH20="","",CupDraw!AH20)</f>
        <v/>
      </c>
      <c r="AA21" s="72" t="str">
        <f>IF(CupDraw!AI20="","",CupDraw!AI20)</f>
        <v/>
      </c>
      <c r="AB21" s="61" t="str">
        <f>IF(CupDraw!AJ20="","",CupDraw!AJ20)</f>
        <v/>
      </c>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2:58">
      <c r="B22" s="83"/>
      <c r="C22" s="71" t="str">
        <f>IF(CupDraw!J21="","",CupDraw!J21)</f>
        <v>David Dunn</v>
      </c>
      <c r="D22" s="72" t="str">
        <f>IF(CupDraw!K21="","",CupDraw!K21)</f>
        <v/>
      </c>
      <c r="E22" s="124" t="str">
        <f>IF(CupDraw!L21="","",CupDraw!L21)</f>
        <v/>
      </c>
      <c r="F22" s="75"/>
      <c r="G22" s="58"/>
      <c r="H22" s="83"/>
      <c r="I22" s="68" t="str">
        <f>IF(CupDraw!P21="","",CupDraw!P21)</f>
        <v>David Dunn</v>
      </c>
      <c r="J22" s="72">
        <f>IF(CupDraw!Q21="","",CupDraw!Q21)</f>
        <v>16.326999999999998</v>
      </c>
      <c r="K22" s="61" t="str">
        <f>IF(CupDraw!R21="","",CupDraw!R21)</f>
        <v/>
      </c>
      <c r="L22" s="78"/>
      <c r="M22" s="58"/>
      <c r="N22" s="63"/>
      <c r="O22" s="68" t="str">
        <f>CupDraw!V21</f>
        <v>Mark Saunders</v>
      </c>
      <c r="P22" s="72">
        <f>IF(CupDraw!W21="","",CupDraw!W21)</f>
        <v>-2.25</v>
      </c>
      <c r="Q22" s="64" t="str">
        <f>IF(CupDraw!X21="","",CupDraw!X21)</f>
        <v/>
      </c>
      <c r="R22" s="78"/>
      <c r="S22" s="58"/>
      <c r="T22" s="58" t="str">
        <f>CupDraw!AA21</f>
        <v>Earlier drawn ties</v>
      </c>
      <c r="U22" s="58"/>
      <c r="V22" s="58"/>
      <c r="W22" s="58"/>
      <c r="X22" s="80"/>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2:58">
      <c r="B23" s="84">
        <f>CupDraw!I22</f>
        <v>11</v>
      </c>
      <c r="C23" s="71" t="str">
        <f>IF(CupDraw!J22="","",CupDraw!J22)</f>
        <v>Nick Blocksidge</v>
      </c>
      <c r="D23" s="72" t="str">
        <f>IF(CupDraw!K22="","",CupDraw!K22)</f>
        <v/>
      </c>
      <c r="E23" s="81" t="str">
        <f>IF(CupDraw!L22="","",CupDraw!L22)</f>
        <v/>
      </c>
      <c r="F23" s="75"/>
      <c r="G23" s="58"/>
      <c r="H23" s="84">
        <f>CupDraw!O22</f>
        <v>11</v>
      </c>
      <c r="I23" s="68" t="str">
        <f>IF(CupDraw!P22="","",CupDraw!P22)</f>
        <v>Nick Blocksidge</v>
      </c>
      <c r="J23" s="72">
        <f>IF(CupDraw!Q22="","",CupDraw!Q22)</f>
        <v>3.9700000000000024</v>
      </c>
      <c r="K23" s="81" t="str">
        <f>IF(CupDraw!R22="","",CupDraw!R22)</f>
        <v/>
      </c>
      <c r="L23" s="78"/>
      <c r="M23" s="58"/>
      <c r="N23" s="60">
        <f>CupDraw!U22</f>
        <v>11</v>
      </c>
      <c r="O23" s="68" t="str">
        <f>CupDraw!V22</f>
        <v>Dave Orrell</v>
      </c>
      <c r="P23" s="72">
        <f>IF(CupDraw!W22="","",CupDraw!W22)</f>
        <v>3.2850000000000001</v>
      </c>
      <c r="Q23" s="81" t="str">
        <f>IF(CupDraw!X22="","",CupDraw!X22)</f>
        <v/>
      </c>
      <c r="R23" s="78"/>
      <c r="S23" s="58"/>
      <c r="T23" s="60"/>
      <c r="U23" s="70"/>
      <c r="V23" s="72"/>
      <c r="W23" s="81"/>
      <c r="X23" s="80"/>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2:58">
      <c r="B24" s="83"/>
      <c r="C24" s="71" t="str">
        <f>IF(CupDraw!J23="","",CupDraw!J23)</f>
        <v>Bob Bailey</v>
      </c>
      <c r="D24" s="72" t="str">
        <f>IF(CupDraw!K23="","",CupDraw!K23)</f>
        <v/>
      </c>
      <c r="E24" s="124" t="str">
        <f>IF(CupDraw!L23="","",CupDraw!L23)</f>
        <v/>
      </c>
      <c r="F24" s="75"/>
      <c r="G24" s="58"/>
      <c r="H24" s="83"/>
      <c r="I24" s="68" t="str">
        <f>IF(CupDraw!P23="","",CupDraw!P23)</f>
        <v>Bob Bailey</v>
      </c>
      <c r="J24" s="72">
        <f>IF(CupDraw!Q23="","",CupDraw!Q23)</f>
        <v>-10</v>
      </c>
      <c r="K24" s="61" t="str">
        <f>IF(CupDraw!R23="","",CupDraw!R23)</f>
        <v/>
      </c>
      <c r="L24" s="78"/>
      <c r="M24" s="58"/>
      <c r="N24" s="63"/>
      <c r="O24" s="68" t="str">
        <f>CupDraw!V23</f>
        <v>Jack Walsh</v>
      </c>
      <c r="P24" s="72">
        <f>IF(CupDraw!W23="","",CupDraw!W23)</f>
        <v>-5.0909090909090908</v>
      </c>
      <c r="Q24" s="64" t="str">
        <f>IF(CupDraw!X23="","",CupDraw!X23)</f>
        <v/>
      </c>
      <c r="R24" s="78"/>
      <c r="S24" s="58"/>
      <c r="T24" s="63"/>
      <c r="U24" s="70"/>
      <c r="V24" s="72"/>
      <c r="W24" s="64"/>
      <c r="X24" s="80"/>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2:58">
      <c r="B25" s="84">
        <f>CupDraw!I24</f>
        <v>12</v>
      </c>
      <c r="C25" s="71" t="str">
        <f>IF(CupDraw!J24="","",CupDraw!J24)</f>
        <v>Alex Griffin</v>
      </c>
      <c r="D25" s="72" t="str">
        <f>IF(CupDraw!K24="","",CupDraw!K24)</f>
        <v/>
      </c>
      <c r="E25" s="81" t="str">
        <f>IF(CupDraw!L24="","",CupDraw!L24)</f>
        <v/>
      </c>
      <c r="F25" s="58"/>
      <c r="G25" s="58"/>
      <c r="H25" s="84">
        <f>CupDraw!O24</f>
        <v>12</v>
      </c>
      <c r="I25" s="68" t="str">
        <f>IF(CupDraw!P24="","",CupDraw!P24)</f>
        <v>Alex Griffin</v>
      </c>
      <c r="J25" s="72">
        <f>IF(CupDraw!Q24="","",CupDraw!Q24)</f>
        <v>-7</v>
      </c>
      <c r="K25" s="81" t="str">
        <f>IF(CupDraw!R24="","",CupDraw!R24)</f>
        <v/>
      </c>
      <c r="L25" s="78"/>
      <c r="M25" s="58"/>
      <c r="N25" s="60">
        <f>CupDraw!U24</f>
        <v>12</v>
      </c>
      <c r="O25" s="68" t="str">
        <f>CupDraw!V24</f>
        <v>Gareth Powell</v>
      </c>
      <c r="P25" s="72">
        <f>IF(CupDraw!W24="","",CupDraw!W24)</f>
        <v>-4.8</v>
      </c>
      <c r="Q25" s="81" t="str">
        <f>IF(CupDraw!X24="","",CupDraw!X24)</f>
        <v/>
      </c>
      <c r="R25" s="78"/>
      <c r="S25" s="58"/>
      <c r="T25" s="60"/>
      <c r="U25" s="62" t="str">
        <f>IF(CupDraw!AB24="","",CupDraw!AB24)</f>
        <v/>
      </c>
      <c r="V25" s="72" t="str">
        <f>IF(CupDraw!AC24="","",CupDraw!AC24)</f>
        <v/>
      </c>
      <c r="W25" s="81"/>
      <c r="X25" s="80"/>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2:58">
      <c r="B26" s="83"/>
      <c r="C26" s="71" t="str">
        <f>IF(CupDraw!J25="","",CupDraw!J25)</f>
        <v>Chris Luck</v>
      </c>
      <c r="D26" s="72" t="str">
        <f>IF(CupDraw!K25="","",CupDraw!K25)</f>
        <v/>
      </c>
      <c r="E26" s="124" t="str">
        <f>IF(CupDraw!L25="","",CupDraw!L25)</f>
        <v/>
      </c>
      <c r="F26" s="58"/>
      <c r="G26" s="58"/>
      <c r="H26" s="83"/>
      <c r="I26" s="68" t="str">
        <f>IF(CupDraw!P25="","",CupDraw!P25)</f>
        <v>Chris Luck</v>
      </c>
      <c r="J26" s="72">
        <f>IF(CupDraw!Q25="","",CupDraw!Q25)</f>
        <v>-4.95</v>
      </c>
      <c r="K26" s="61" t="str">
        <f>IF(CupDraw!R25="","",CupDraw!R25)</f>
        <v/>
      </c>
      <c r="L26" s="78"/>
      <c r="M26" s="58"/>
      <c r="N26" s="63"/>
      <c r="O26" s="68" t="str">
        <f>CupDraw!V25</f>
        <v>Graham Miller</v>
      </c>
      <c r="P26" s="72">
        <f>IF(CupDraw!W25="","",CupDraw!W25)</f>
        <v>-5.2</v>
      </c>
      <c r="Q26" s="64" t="str">
        <f>IF(CupDraw!X25="","",CupDraw!X25)</f>
        <v/>
      </c>
      <c r="R26" s="78"/>
      <c r="S26" s="58"/>
      <c r="T26" s="67"/>
      <c r="U26" s="62" t="str">
        <f>IF(CupDraw!AB25="","",CupDraw!AB25)</f>
        <v/>
      </c>
      <c r="V26" s="72" t="str">
        <f>IF(CupDraw!AC25="","",CupDraw!AC25)</f>
        <v/>
      </c>
      <c r="W26" s="61"/>
      <c r="X26" s="80"/>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2:58">
      <c r="B27" s="84">
        <f>CupDraw!I26</f>
        <v>13</v>
      </c>
      <c r="C27" s="71" t="str">
        <f>IF(CupDraw!J26="","",CupDraw!J26)</f>
        <v>Chris Bow</v>
      </c>
      <c r="D27" s="72" t="str">
        <f>IF(CupDraw!K26="","",CupDraw!K26)</f>
        <v/>
      </c>
      <c r="E27" s="81" t="str">
        <f>IF(CupDraw!L26="","",CupDraw!L26)</f>
        <v/>
      </c>
      <c r="F27" s="58"/>
      <c r="G27" s="58"/>
      <c r="H27" s="84">
        <f>CupDraw!O26</f>
        <v>13</v>
      </c>
      <c r="I27" s="68" t="str">
        <f>IF(CupDraw!P26="","",CupDraw!P26)</f>
        <v>Chris Bow</v>
      </c>
      <c r="J27" s="72">
        <f>IF(CupDraw!Q26="","",CupDraw!Q26)</f>
        <v>-3.75</v>
      </c>
      <c r="K27" s="81" t="str">
        <f>IF(CupDraw!R26="","",CupDraw!R26)</f>
        <v/>
      </c>
      <c r="L27" s="78"/>
      <c r="M27" s="58"/>
      <c r="N27" s="60">
        <f>CupDraw!U26</f>
        <v>13</v>
      </c>
      <c r="O27" s="68" t="str">
        <f>CupDraw!V26</f>
        <v>Paul Barnes</v>
      </c>
      <c r="P27" s="72">
        <f>IF(CupDraw!W26="","",CupDraw!W26)</f>
        <v>9.875</v>
      </c>
      <c r="Q27" s="81" t="str">
        <f>IF(CupDraw!X26="","",CupDraw!X26)</f>
        <v/>
      </c>
      <c r="R27" s="78"/>
      <c r="S27" s="58"/>
      <c r="T27" s="60"/>
      <c r="U27" s="70" t="str">
        <f>IF(CupDraw!AB26="","",CupDraw!AB26)</f>
        <v/>
      </c>
      <c r="V27" s="72" t="str">
        <f>IF(CupDraw!AC26="","",CupDraw!AC26)</f>
        <v/>
      </c>
      <c r="W27" s="81" t="str">
        <f>CupDraw!AD26</f>
        <v/>
      </c>
      <c r="X27" s="80"/>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2:58">
      <c r="B28" s="83"/>
      <c r="C28" s="71" t="str">
        <f>IF(CupDraw!J27="","",CupDraw!J27)</f>
        <v>Mark Bunn</v>
      </c>
      <c r="D28" s="72" t="str">
        <f>IF(CupDraw!K27="","",CupDraw!K27)</f>
        <v/>
      </c>
      <c r="E28" s="124" t="str">
        <f>IF(CupDraw!L27="","",CupDraw!L27)</f>
        <v/>
      </c>
      <c r="F28" s="58"/>
      <c r="G28" s="58"/>
      <c r="H28" s="83"/>
      <c r="I28" s="68" t="str">
        <f>IF(CupDraw!P27="","",CupDraw!P27)</f>
        <v>Mark Bunn</v>
      </c>
      <c r="J28" s="72">
        <f>IF(CupDraw!Q27="","",CupDraw!Q27)</f>
        <v>5.1750000000000007</v>
      </c>
      <c r="K28" s="61" t="str">
        <f>IF(CupDraw!R27="","",CupDraw!R27)</f>
        <v/>
      </c>
      <c r="L28" s="78"/>
      <c r="M28" s="58"/>
      <c r="N28" s="63"/>
      <c r="O28" s="68" t="str">
        <f>CupDraw!V27</f>
        <v>Alick Rocca</v>
      </c>
      <c r="P28" s="72">
        <f>IF(CupDraw!W27="","",CupDraw!W27)</f>
        <v>-7</v>
      </c>
      <c r="Q28" s="64" t="str">
        <f>IF(CupDraw!X27="","",CupDraw!X27)</f>
        <v/>
      </c>
      <c r="R28" s="78"/>
      <c r="S28" s="58"/>
      <c r="T28" s="63"/>
      <c r="U28" s="70" t="str">
        <f>IF(CupDraw!AB27="","",CupDraw!AB27)</f>
        <v/>
      </c>
      <c r="V28" s="72" t="str">
        <f>IF(CupDraw!AC27="","",CupDraw!AC27)</f>
        <v/>
      </c>
      <c r="W28" s="64"/>
      <c r="X28" s="80"/>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2:58">
      <c r="B29" s="84">
        <f>CupDraw!I28</f>
        <v>14</v>
      </c>
      <c r="C29" s="71" t="str">
        <f>IF(CupDraw!J28="","",CupDraw!J28)</f>
        <v>Andy White</v>
      </c>
      <c r="D29" s="72" t="str">
        <f>IF(CupDraw!K28="","",CupDraw!K28)</f>
        <v/>
      </c>
      <c r="E29" s="81" t="str">
        <f>IF(CupDraw!L28="","",CupDraw!L28)</f>
        <v/>
      </c>
      <c r="F29" s="58"/>
      <c r="G29" s="58"/>
      <c r="H29" s="84">
        <f>CupDraw!O28</f>
        <v>14</v>
      </c>
      <c r="I29" s="68" t="str">
        <f>IF(CupDraw!P28="","",CupDraw!P28)</f>
        <v>Andy White</v>
      </c>
      <c r="J29" s="72">
        <f>IF(CupDraw!Q28="","",CupDraw!Q28)</f>
        <v>-7</v>
      </c>
      <c r="K29" s="81" t="str">
        <f>IF(CupDraw!R28="","",CupDraw!R28)</f>
        <v/>
      </c>
      <c r="L29" s="78"/>
      <c r="M29" s="58"/>
      <c r="N29" s="60">
        <f>CupDraw!U28</f>
        <v>14</v>
      </c>
      <c r="O29" s="68" t="str">
        <f>CupDraw!V28</f>
        <v>Dave Bell</v>
      </c>
      <c r="P29" s="72">
        <f>IF(CupDraw!W28="","",CupDraw!W28)</f>
        <v>-4.8</v>
      </c>
      <c r="Q29" s="81" t="str">
        <f>IF(CupDraw!X28="","",CupDraw!X28)</f>
        <v/>
      </c>
      <c r="R29" s="78"/>
      <c r="S29" s="58"/>
      <c r="T29" s="60"/>
      <c r="U29" s="62" t="str">
        <f>IF(CupDraw!AB28="","",CupDraw!AB28)</f>
        <v/>
      </c>
      <c r="V29" s="72" t="str">
        <f>IF(CupDraw!AC28="","",CupDraw!AC28)</f>
        <v/>
      </c>
      <c r="W29" s="81" t="str">
        <f>CupDraw!AD28</f>
        <v/>
      </c>
      <c r="X29" s="80"/>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2:58">
      <c r="B30" s="83"/>
      <c r="C30" s="71" t="str">
        <f>IF(CupDraw!J29="","",CupDraw!J29)</f>
        <v>Alfie Davies</v>
      </c>
      <c r="D30" s="72" t="str">
        <f>IF(CupDraw!K29="","",CupDraw!K29)</f>
        <v/>
      </c>
      <c r="E30" s="124" t="str">
        <f>IF(CupDraw!L29="","",CupDraw!L29)</f>
        <v/>
      </c>
      <c r="F30" s="58"/>
      <c r="G30" s="58"/>
      <c r="H30" s="83"/>
      <c r="I30" s="68" t="str">
        <f>IF(CupDraw!P29="","",CupDraw!P29)</f>
        <v>Alfie Davies</v>
      </c>
      <c r="J30" s="72">
        <f>IF(CupDraw!Q29="","",CupDraw!Q29)</f>
        <v>-4.625</v>
      </c>
      <c r="K30" s="61" t="str">
        <f>IF(CupDraw!R29="","",CupDraw!R29)</f>
        <v/>
      </c>
      <c r="L30" s="78"/>
      <c r="M30" s="58"/>
      <c r="N30" s="63"/>
      <c r="O30" s="68" t="str">
        <f>CupDraw!V29</f>
        <v>Chris Townsend</v>
      </c>
      <c r="P30" s="72">
        <f>IF(CupDraw!W29="","",CupDraw!W29)</f>
        <v>-7</v>
      </c>
      <c r="Q30" s="64" t="str">
        <f>IF(CupDraw!X29="","",CupDraw!X29)</f>
        <v/>
      </c>
      <c r="R30" s="78"/>
      <c r="S30" s="58"/>
      <c r="T30" s="67"/>
      <c r="U30" s="62" t="str">
        <f>IF(CupDraw!AB29="","",CupDraw!AB29)</f>
        <v/>
      </c>
      <c r="V30" s="72" t="str">
        <f>IF(CupDraw!AC29="","",CupDraw!AC29)</f>
        <v/>
      </c>
      <c r="W30" s="61"/>
      <c r="X30" s="80"/>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2:58">
      <c r="B31" s="84">
        <f>CupDraw!I30</f>
        <v>15</v>
      </c>
      <c r="C31" s="71" t="str">
        <f>IF(CupDraw!J30="","",CupDraw!J30)</f>
        <v>Martin Tarbuck</v>
      </c>
      <c r="D31" s="72" t="str">
        <f>IF(CupDraw!K30="","",CupDraw!K30)</f>
        <v/>
      </c>
      <c r="E31" s="81" t="str">
        <f>IF(CupDraw!L30="","",CupDraw!L30)</f>
        <v/>
      </c>
      <c r="F31" s="58"/>
      <c r="G31" s="58"/>
      <c r="H31" s="84">
        <f>CupDraw!O30</f>
        <v>15</v>
      </c>
      <c r="I31" s="68" t="str">
        <f>IF(CupDraw!P30="","",CupDraw!P30)</f>
        <v>Martin Tarbuck</v>
      </c>
      <c r="J31" s="72">
        <f>IF(CupDraw!Q30="","",CupDraw!Q30)</f>
        <v>-5.6363636363636367</v>
      </c>
      <c r="K31" s="81" t="str">
        <f>IF(CupDraw!R30="","",CupDraw!R30)</f>
        <v/>
      </c>
      <c r="L31" s="78"/>
      <c r="M31" s="58"/>
      <c r="N31" s="60">
        <f>CupDraw!U30</f>
        <v>15</v>
      </c>
      <c r="O31" s="68" t="str">
        <f>CupDraw!V30</f>
        <v>Dan Gibbard</v>
      </c>
      <c r="P31" s="72">
        <f>IF(CupDraw!W30="","",CupDraw!W30)</f>
        <v>-10</v>
      </c>
      <c r="Q31" s="81" t="str">
        <f>IF(CupDraw!X30="","",CupDraw!X30)</f>
        <v/>
      </c>
      <c r="R31" s="78"/>
      <c r="S31" s="58"/>
      <c r="T31" s="76"/>
      <c r="U31" s="76"/>
      <c r="V31" s="76"/>
      <c r="W31" s="76"/>
      <c r="X31" s="80"/>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2:58">
      <c r="B32" s="83"/>
      <c r="C32" s="71" t="str">
        <f>IF(CupDraw!J31="","",CupDraw!J31)</f>
        <v>Barry Birchall</v>
      </c>
      <c r="D32" s="72" t="str">
        <f>IF(CupDraw!K31="","",CupDraw!K31)</f>
        <v/>
      </c>
      <c r="E32" s="124" t="str">
        <f>IF(CupDraw!L31="","",CupDraw!L31)</f>
        <v/>
      </c>
      <c r="F32" s="58"/>
      <c r="G32" s="58"/>
      <c r="H32" s="83"/>
      <c r="I32" s="68" t="str">
        <f>IF(CupDraw!P31="","",CupDraw!P31)</f>
        <v>Barry Birchall</v>
      </c>
      <c r="J32" s="72">
        <f>IF(CupDraw!Q31="","",CupDraw!Q31)</f>
        <v>-7</v>
      </c>
      <c r="K32" s="61" t="str">
        <f>IF(CupDraw!R31="","",CupDraw!R31)</f>
        <v/>
      </c>
      <c r="L32" s="78"/>
      <c r="M32" s="58"/>
      <c r="N32" s="63"/>
      <c r="O32" s="68" t="str">
        <f>CupDraw!V31</f>
        <v>Frank Allen</v>
      </c>
      <c r="P32" s="72">
        <f>IF(CupDraw!W31="","",CupDraw!W31)</f>
        <v>-5.4285714285714288</v>
      </c>
      <c r="Q32" s="64" t="str">
        <f>IF(CupDraw!X31="","",CupDraw!X31)</f>
        <v/>
      </c>
      <c r="R32" s="78"/>
      <c r="S32" s="58"/>
      <c r="T32" s="76"/>
      <c r="U32" s="76"/>
      <c r="V32" s="76"/>
      <c r="W32" s="76"/>
      <c r="X32" s="80"/>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2:58">
      <c r="B33" s="84">
        <f>CupDraw!I32</f>
        <v>16</v>
      </c>
      <c r="C33" s="71" t="str">
        <f>IF(CupDraw!J32="","",CupDraw!J32)</f>
        <v>Paul Allen</v>
      </c>
      <c r="D33" s="72" t="str">
        <f>IF(CupDraw!K32="","",CupDraw!K32)</f>
        <v/>
      </c>
      <c r="E33" s="81" t="str">
        <f>IF(CupDraw!L32="","",CupDraw!L32)</f>
        <v/>
      </c>
      <c r="F33" s="58"/>
      <c r="G33" s="58"/>
      <c r="H33" s="84">
        <f>CupDraw!O32</f>
        <v>16</v>
      </c>
      <c r="I33" s="68" t="str">
        <f>IF(CupDraw!P32="","",CupDraw!P32)</f>
        <v>Paul Allen</v>
      </c>
      <c r="J33" s="72">
        <f>IF(CupDraw!Q32="","",CupDraw!Q32)</f>
        <v>-1.7363636363636363</v>
      </c>
      <c r="K33" s="81" t="str">
        <f>IF(CupDraw!R32="","",CupDraw!R32)</f>
        <v/>
      </c>
      <c r="L33" s="78"/>
      <c r="M33" s="58"/>
      <c r="N33" s="60">
        <f>CupDraw!U32</f>
        <v>16</v>
      </c>
      <c r="O33" s="68" t="str">
        <f>CupDraw!V32</f>
        <v>Emma McDermott</v>
      </c>
      <c r="P33" s="72">
        <f>IF(CupDraw!W32="","",CupDraw!W32)</f>
        <v>-10</v>
      </c>
      <c r="Q33" s="81" t="str">
        <f>IF(CupDraw!X32="","",CupDraw!X32)</f>
        <v/>
      </c>
      <c r="R33" s="78"/>
      <c r="S33" s="58"/>
      <c r="T33" s="76"/>
      <c r="U33" s="76"/>
      <c r="V33" s="76"/>
      <c r="W33" s="76"/>
      <c r="X33" s="80"/>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2:58">
      <c r="B34" s="83"/>
      <c r="C34" s="71" t="str">
        <f>IF(CupDraw!J33="","",CupDraw!J33)</f>
        <v>Alan White</v>
      </c>
      <c r="D34" s="72" t="str">
        <f>IF(CupDraw!K33="","",CupDraw!K33)</f>
        <v/>
      </c>
      <c r="E34" s="124" t="str">
        <f>IF(CupDraw!L33="","",CupDraw!L33)</f>
        <v/>
      </c>
      <c r="F34" s="58"/>
      <c r="G34" s="58"/>
      <c r="H34" s="83"/>
      <c r="I34" s="68" t="str">
        <f>IF(CupDraw!P33="","",CupDraw!P33)</f>
        <v>Alan White</v>
      </c>
      <c r="J34" s="72">
        <f>IF(CupDraw!Q33="","",CupDraw!Q33)</f>
        <v>0.72727272727272751</v>
      </c>
      <c r="K34" s="61" t="str">
        <f>IF(CupDraw!R33="","",CupDraw!R33)</f>
        <v/>
      </c>
      <c r="L34" s="78"/>
      <c r="M34" s="58"/>
      <c r="N34" s="67"/>
      <c r="O34" s="68" t="str">
        <f>CupDraw!V33</f>
        <v>Mike Penk</v>
      </c>
      <c r="P34" s="72">
        <f>IF(CupDraw!W33="","",CupDraw!W33)</f>
        <v>0.1454545454545455</v>
      </c>
      <c r="Q34" s="61" t="str">
        <f>IF(CupDraw!X33="","",CupDraw!X33)</f>
        <v/>
      </c>
      <c r="R34" s="78"/>
      <c r="S34" s="58"/>
      <c r="T34" s="76"/>
      <c r="U34" s="76"/>
      <c r="V34" s="76"/>
      <c r="W34" s="76"/>
      <c r="X34" s="80"/>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2:58">
      <c r="B35" s="84">
        <f>CupDraw!I34</f>
        <v>17</v>
      </c>
      <c r="C35" s="71" t="str">
        <f>IF(CupDraw!J34="","",CupDraw!J34)</f>
        <v>Kevin Carter</v>
      </c>
      <c r="D35" s="72" t="str">
        <f>IF(CupDraw!K34="","",CupDraw!K34)</f>
        <v/>
      </c>
      <c r="E35" s="81" t="str">
        <f>IF(CupDraw!L34="","",CupDraw!L34)</f>
        <v/>
      </c>
      <c r="F35" s="58"/>
      <c r="G35" s="58"/>
      <c r="H35" s="84">
        <f>CupDraw!O34</f>
        <v>17</v>
      </c>
      <c r="I35" s="68" t="str">
        <f>IF(CupDraw!P34="","",CupDraw!P34)</f>
        <v>Kevin Carter</v>
      </c>
      <c r="J35" s="72">
        <f>IF(CupDraw!Q34="","",CupDraw!Q34)</f>
        <v>2.1999999999999993</v>
      </c>
      <c r="K35" s="81" t="str">
        <f>IF(CupDraw!R34="","",CupDraw!R34)</f>
        <v/>
      </c>
      <c r="L35" s="78"/>
      <c r="M35" s="58"/>
      <c r="N35" s="58"/>
      <c r="O35" s="58"/>
      <c r="P35" s="58"/>
      <c r="Q35" s="58" t="str">
        <f>IF(CupDraw!X34="","",CupDraw!X34)</f>
        <v/>
      </c>
      <c r="R35" s="79"/>
      <c r="S35" s="58"/>
      <c r="T35" s="76"/>
      <c r="U35" s="76"/>
      <c r="V35" s="76"/>
      <c r="W35" s="76"/>
      <c r="X35" s="80"/>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2:58">
      <c r="B36" s="83"/>
      <c r="C36" s="71" t="str">
        <f>IF(CupDraw!J35="","",CupDraw!J35)</f>
        <v>John Murphy</v>
      </c>
      <c r="D36" s="72" t="str">
        <f>IF(CupDraw!K35="","",CupDraw!K35)</f>
        <v/>
      </c>
      <c r="E36" s="124" t="str">
        <f>IF(CupDraw!L35="","",CupDraw!L35)</f>
        <v/>
      </c>
      <c r="F36" s="58"/>
      <c r="G36" s="58"/>
      <c r="H36" s="83"/>
      <c r="I36" s="68" t="str">
        <f>IF(CupDraw!P35="","",CupDraw!P35)</f>
        <v>John Murphy</v>
      </c>
      <c r="J36" s="72">
        <f>IF(CupDraw!Q35="","",CupDraw!Q35)</f>
        <v>6.5124999999999993</v>
      </c>
      <c r="K36" s="61" t="str">
        <f>IF(CupDraw!R35="","",CupDraw!R35)</f>
        <v/>
      </c>
      <c r="L36" s="78"/>
      <c r="M36" s="58"/>
      <c r="N36" s="58"/>
      <c r="O36" s="58"/>
      <c r="P36" s="58"/>
      <c r="Q36" s="58" t="str">
        <f>IF(CupDraw!X35="","",CupDraw!X35)</f>
        <v/>
      </c>
      <c r="R36" s="79"/>
      <c r="S36" s="58"/>
      <c r="T36" s="76"/>
      <c r="U36" s="76"/>
      <c r="V36" s="76"/>
      <c r="W36" s="76"/>
      <c r="X36" s="80"/>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2:58">
      <c r="B37" s="84">
        <f>CupDraw!I36</f>
        <v>18</v>
      </c>
      <c r="C37" s="71" t="str">
        <f>IF(CupDraw!J36="","",CupDraw!J36)</f>
        <v>Howard Bradley</v>
      </c>
      <c r="D37" s="72" t="str">
        <f>IF(CupDraw!K36="","",CupDraw!K36)</f>
        <v/>
      </c>
      <c r="E37" s="81" t="str">
        <f>IF(CupDraw!L36="","",CupDraw!L36)</f>
        <v/>
      </c>
      <c r="F37" s="58"/>
      <c r="G37" s="58"/>
      <c r="H37" s="84">
        <f>CupDraw!O36</f>
        <v>18</v>
      </c>
      <c r="I37" s="68" t="str">
        <f>IF(CupDraw!P36="","",CupDraw!P36)</f>
        <v>Howard Bradley</v>
      </c>
      <c r="J37" s="72">
        <f>IF(CupDraw!Q36="","",CupDraw!Q36)</f>
        <v>2.75</v>
      </c>
      <c r="K37" s="81" t="str">
        <f>IF(CupDraw!R36="","",CupDraw!R36)</f>
        <v/>
      </c>
      <c r="L37" s="78"/>
      <c r="M37" s="58"/>
      <c r="N37" s="58"/>
      <c r="O37" s="58"/>
      <c r="P37" s="58"/>
      <c r="Q37" s="58" t="str">
        <f>IF(CupDraw!X36="","",CupDraw!X36)</f>
        <v/>
      </c>
      <c r="R37" s="79"/>
      <c r="S37" s="58"/>
      <c r="T37" s="76"/>
      <c r="U37" s="76"/>
      <c r="V37" s="76"/>
      <c r="W37" s="76"/>
      <c r="X37" s="80"/>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2:58">
      <c r="B38" s="83"/>
      <c r="C38" s="71" t="str">
        <f>IF(CupDraw!J37="","",CupDraw!J37)</f>
        <v>Alan Rogers</v>
      </c>
      <c r="D38" s="72" t="str">
        <f>IF(CupDraw!K37="","",CupDraw!K37)</f>
        <v/>
      </c>
      <c r="E38" s="124" t="str">
        <f>IF(CupDraw!L37="","",CupDraw!L37)</f>
        <v/>
      </c>
      <c r="F38" s="58"/>
      <c r="G38" s="58"/>
      <c r="H38" s="83"/>
      <c r="I38" s="68" t="str">
        <f>IF(CupDraw!P37="","",CupDraw!P37)</f>
        <v>Alan Rogers</v>
      </c>
      <c r="J38" s="72">
        <f>IF(CupDraw!Q37="","",CupDraw!Q37)</f>
        <v>-3.3</v>
      </c>
      <c r="K38" s="61" t="str">
        <f>IF(CupDraw!R37="","",CupDraw!R37)</f>
        <v/>
      </c>
      <c r="L38" s="78"/>
      <c r="M38" s="58"/>
      <c r="N38" s="58" t="str">
        <f>CupDraw!U37</f>
        <v>Replay</v>
      </c>
      <c r="O38" s="58"/>
      <c r="P38" s="58"/>
      <c r="Q38" s="58" t="str">
        <f>IF(CupDraw!X37="","",CupDraw!X37)</f>
        <v/>
      </c>
      <c r="R38" s="79"/>
      <c r="S38" s="58"/>
      <c r="T38" s="76"/>
      <c r="U38" s="76"/>
      <c r="V38" s="76"/>
      <c r="W38" s="76"/>
      <c r="X38" s="80"/>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2:58">
      <c r="B39" s="84">
        <f>CupDraw!I38</f>
        <v>19</v>
      </c>
      <c r="C39" s="71" t="str">
        <f>IF(CupDraw!J38="","",CupDraw!J38)</f>
        <v/>
      </c>
      <c r="D39" s="72" t="str">
        <f>IF(CupDraw!K38="","",CupDraw!K38)</f>
        <v/>
      </c>
      <c r="E39" s="81" t="str">
        <f>IF(CupDraw!L38="","",CupDraw!L38)</f>
        <v/>
      </c>
      <c r="F39" s="58"/>
      <c r="G39" s="58"/>
      <c r="H39" s="84">
        <f>CupDraw!O38</f>
        <v>19</v>
      </c>
      <c r="I39" s="68" t="str">
        <f>IF(CupDraw!P38="","",CupDraw!P38)</f>
        <v>Gerard Ventom</v>
      </c>
      <c r="J39" s="72" t="str">
        <f>IF(CupDraw!Q38="","",CupDraw!Q38)</f>
        <v/>
      </c>
      <c r="K39" s="81" t="str">
        <f>IF(CupDraw!R38="","",CupDraw!R38)</f>
        <v/>
      </c>
      <c r="L39" s="78"/>
      <c r="M39" s="58"/>
      <c r="N39" s="60"/>
      <c r="O39" s="70" t="str">
        <f>IF(CupDraw!V38="","",CupDraw!V38)</f>
        <v>Tom Robinson</v>
      </c>
      <c r="P39" s="72">
        <f>IF(CupDraw!W38="","",CupDraw!W38)</f>
        <v>-7</v>
      </c>
      <c r="Q39" s="81" t="str">
        <f>IF(CupDraw!X38="","",CupDraw!X38)</f>
        <v>R</v>
      </c>
      <c r="R39" s="78"/>
      <c r="S39" s="58"/>
      <c r="X39" s="80"/>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2:58">
      <c r="B40" s="83"/>
      <c r="C40" s="71" t="str">
        <f>IF(CupDraw!J39="","",CupDraw!J39)</f>
        <v/>
      </c>
      <c r="D40" s="72" t="str">
        <f>IF(CupDraw!K39="","",CupDraw!K39)</f>
        <v/>
      </c>
      <c r="E40" s="124" t="str">
        <f>IF(CupDraw!L39="","",CupDraw!L39)</f>
        <v/>
      </c>
      <c r="F40" s="58"/>
      <c r="G40" s="58"/>
      <c r="H40" s="83"/>
      <c r="I40" s="68" t="str">
        <f>IF(CupDraw!P39="","",CupDraw!P39)</f>
        <v>Bye</v>
      </c>
      <c r="J40" s="72">
        <f>IF(CupDraw!Q39="","",CupDraw!Q39)</f>
        <v>-10</v>
      </c>
      <c r="K40" s="61" t="str">
        <f>IF(CupDraw!R39="","",CupDraw!R39)</f>
        <v/>
      </c>
      <c r="L40" s="78"/>
      <c r="M40" s="58"/>
      <c r="N40" s="63"/>
      <c r="O40" s="70" t="str">
        <f>IF(CupDraw!V39="","",CupDraw!V39)</f>
        <v>Stephen Barr</v>
      </c>
      <c r="P40" s="72">
        <f>IF(CupDraw!W39="","",CupDraw!W39)</f>
        <v>-7</v>
      </c>
      <c r="Q40" s="64" t="str">
        <f>IF(CupDraw!X39="","",CupDraw!X39)</f>
        <v/>
      </c>
      <c r="R40" s="78"/>
      <c r="S40" s="58"/>
      <c r="X40" s="78"/>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2:58">
      <c r="B41" s="84">
        <f>CupDraw!I40</f>
        <v>20</v>
      </c>
      <c r="C41" s="71" t="str">
        <f>IF(CupDraw!J40="","",CupDraw!J40)</f>
        <v/>
      </c>
      <c r="D41" s="72" t="str">
        <f>IF(CupDraw!K40="","",CupDraw!K40)</f>
        <v/>
      </c>
      <c r="E41" s="81" t="str">
        <f>IF(CupDraw!L40="","",CupDraw!L40)</f>
        <v/>
      </c>
      <c r="F41" s="58"/>
      <c r="G41" s="58"/>
      <c r="H41" s="84">
        <f>CupDraw!O40</f>
        <v>20</v>
      </c>
      <c r="I41" s="68" t="str">
        <f>IF(CupDraw!P40="","",CupDraw!P40)</f>
        <v>Mark Saunders</v>
      </c>
      <c r="J41" s="72" t="str">
        <f>IF(CupDraw!Q40="","",CupDraw!Q40)</f>
        <v/>
      </c>
      <c r="K41" s="81" t="str">
        <f>IF(CupDraw!R40="","",CupDraw!R40)</f>
        <v/>
      </c>
      <c r="L41" s="78"/>
      <c r="M41" s="58"/>
      <c r="N41" s="60"/>
      <c r="O41" s="62" t="str">
        <f>IF(CupDraw!V40="","",CupDraw!V40)</f>
        <v/>
      </c>
      <c r="P41" s="72" t="str">
        <f>IF(CupDraw!W40="","",CupDraw!W40)</f>
        <v/>
      </c>
      <c r="Q41" s="81" t="str">
        <f>IF(CupDraw!X40="","",CupDraw!X40)</f>
        <v/>
      </c>
      <c r="R41" s="78"/>
      <c r="S41" s="58"/>
      <c r="X41" s="78"/>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2:58">
      <c r="B42" s="83"/>
      <c r="C42" s="71" t="str">
        <f>IF(CupDraw!J41="","",CupDraw!J41)</f>
        <v/>
      </c>
      <c r="D42" s="72" t="str">
        <f>IF(CupDraw!K41="","",CupDraw!K41)</f>
        <v/>
      </c>
      <c r="E42" s="124" t="str">
        <f>IF(CupDraw!L41="","",CupDraw!L41)</f>
        <v/>
      </c>
      <c r="F42" s="58"/>
      <c r="G42" s="58"/>
      <c r="H42" s="83"/>
      <c r="I42" s="68" t="str">
        <f>IF(CupDraw!P41="","",CupDraw!P41)</f>
        <v>Bye</v>
      </c>
      <c r="J42" s="72">
        <f>IF(CupDraw!Q41="","",CupDraw!Q41)</f>
        <v>-10</v>
      </c>
      <c r="K42" s="61" t="str">
        <f>IF(CupDraw!R41="","",CupDraw!R41)</f>
        <v/>
      </c>
      <c r="L42" s="78"/>
      <c r="M42" s="58"/>
      <c r="N42" s="63"/>
      <c r="O42" s="62" t="str">
        <f>IF(CupDraw!V41="","",CupDraw!V41)</f>
        <v/>
      </c>
      <c r="P42" s="72" t="str">
        <f>IF(CupDraw!W41="","",CupDraw!W41)</f>
        <v/>
      </c>
      <c r="Q42" s="64" t="str">
        <f>IF(CupDraw!X41="","",CupDraw!X41)</f>
        <v/>
      </c>
      <c r="R42" s="78"/>
      <c r="S42" s="58"/>
      <c r="X42" s="78"/>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2:58">
      <c r="B43" s="84">
        <f>CupDraw!I42</f>
        <v>21</v>
      </c>
      <c r="C43" s="71" t="str">
        <f>IF(CupDraw!J42="","",CupDraw!J42)</f>
        <v/>
      </c>
      <c r="D43" s="72" t="str">
        <f>IF(CupDraw!K42="","",CupDraw!K42)</f>
        <v/>
      </c>
      <c r="E43" s="81" t="str">
        <f>IF(CupDraw!L42="","",CupDraw!L42)</f>
        <v/>
      </c>
      <c r="F43" s="58"/>
      <c r="G43" s="58"/>
      <c r="H43" s="84">
        <f>CupDraw!O42</f>
        <v>21</v>
      </c>
      <c r="I43" s="68" t="str">
        <f>IF(CupDraw!P42="","",CupDraw!P42)</f>
        <v>Dave Orrell</v>
      </c>
      <c r="J43" s="72" t="str">
        <f>IF(CupDraw!Q42="","",CupDraw!Q42)</f>
        <v/>
      </c>
      <c r="K43" s="81" t="str">
        <f>IF(CupDraw!R42="","",CupDraw!R42)</f>
        <v/>
      </c>
      <c r="L43" s="78"/>
      <c r="M43" s="58"/>
      <c r="N43" s="60"/>
      <c r="O43" s="62" t="str">
        <f>IF(CupDraw!V42="","",CupDraw!V42)</f>
        <v/>
      </c>
      <c r="P43" s="72" t="str">
        <f>IF(CupDraw!W42="","",CupDraw!W42)</f>
        <v/>
      </c>
      <c r="Q43" s="81" t="str">
        <f>IF(CupDraw!X42="","",CupDraw!X42)</f>
        <v/>
      </c>
      <c r="R43" s="78"/>
      <c r="S43" s="58"/>
      <c r="X43" s="78"/>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2:58">
      <c r="B44" s="83"/>
      <c r="C44" s="71" t="str">
        <f>IF(CupDraw!J43="","",CupDraw!J43)</f>
        <v/>
      </c>
      <c r="D44" s="72" t="str">
        <f>IF(CupDraw!K43="","",CupDraw!K43)</f>
        <v/>
      </c>
      <c r="E44" s="124" t="str">
        <f>IF(CupDraw!L43="","",CupDraw!L43)</f>
        <v/>
      </c>
      <c r="F44" s="58"/>
      <c r="G44" s="58"/>
      <c r="H44" s="83"/>
      <c r="I44" s="68" t="str">
        <f>IF(CupDraw!P43="","",CupDraw!P43)</f>
        <v>Bye</v>
      </c>
      <c r="J44" s="72">
        <f>IF(CupDraw!Q43="","",CupDraw!Q43)</f>
        <v>-10</v>
      </c>
      <c r="K44" s="61" t="str">
        <f>IF(CupDraw!R43="","",CupDraw!R43)</f>
        <v/>
      </c>
      <c r="L44" s="78"/>
      <c r="M44" s="58"/>
      <c r="N44" s="63"/>
      <c r="O44" s="62" t="str">
        <f>IF(CupDraw!V43="","",CupDraw!V43)</f>
        <v/>
      </c>
      <c r="P44" s="72" t="str">
        <f>IF(CupDraw!W43="","",CupDraw!W43)</f>
        <v/>
      </c>
      <c r="Q44" s="64" t="str">
        <f>IF(CupDraw!X43="","",CupDraw!X43)</f>
        <v/>
      </c>
      <c r="R44" s="78"/>
      <c r="S44" s="58"/>
      <c r="X44" s="78"/>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2:58">
      <c r="B45" s="84">
        <f>CupDraw!I44</f>
        <v>22</v>
      </c>
      <c r="C45" s="71" t="str">
        <f>IF(CupDraw!J44="","",CupDraw!J44)</f>
        <v/>
      </c>
      <c r="D45" s="72" t="str">
        <f>IF(CupDraw!K44="","",CupDraw!K44)</f>
        <v/>
      </c>
      <c r="E45" s="81" t="str">
        <f>IF(CupDraw!L44="","",CupDraw!L44)</f>
        <v/>
      </c>
      <c r="F45" s="58"/>
      <c r="G45" s="58"/>
      <c r="H45" s="84">
        <f>CupDraw!O44</f>
        <v>22</v>
      </c>
      <c r="I45" s="68" t="str">
        <f>IF(CupDraw!P44="","",CupDraw!P44)</f>
        <v>Jack Walsh</v>
      </c>
      <c r="J45" s="72" t="str">
        <f>IF(CupDraw!Q44="","",CupDraw!Q44)</f>
        <v/>
      </c>
      <c r="K45" s="81" t="str">
        <f>IF(CupDraw!R44="","",CupDraw!R44)</f>
        <v/>
      </c>
      <c r="L45" s="78"/>
      <c r="M45" s="58"/>
      <c r="N45" s="60"/>
      <c r="O45" s="62" t="str">
        <f>IF(CupDraw!V44="","",CupDraw!V44)</f>
        <v/>
      </c>
      <c r="P45" s="72" t="str">
        <f>IF(CupDraw!W44="","",CupDraw!W44)</f>
        <v/>
      </c>
      <c r="Q45" s="73" t="str">
        <f>IF(CupDraw!X44="","",CupDraw!X44)</f>
        <v/>
      </c>
      <c r="R45" s="78"/>
      <c r="S45" s="58"/>
      <c r="X45" s="78"/>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2:58">
      <c r="B46" s="83"/>
      <c r="C46" s="71" t="str">
        <f>IF(CupDraw!J45="","",CupDraw!J45)</f>
        <v/>
      </c>
      <c r="D46" s="72" t="str">
        <f>IF(CupDraw!K45="","",CupDraw!K45)</f>
        <v/>
      </c>
      <c r="E46" s="124" t="str">
        <f>IF(CupDraw!L45="","",CupDraw!L45)</f>
        <v/>
      </c>
      <c r="F46" s="58"/>
      <c r="G46" s="58"/>
      <c r="H46" s="83"/>
      <c r="I46" s="68" t="str">
        <f>IF(CupDraw!P45="","",CupDraw!P45)</f>
        <v>Bye</v>
      </c>
      <c r="J46" s="72">
        <f>IF(CupDraw!Q45="","",CupDraw!Q45)</f>
        <v>-10</v>
      </c>
      <c r="K46" s="61" t="str">
        <f>IF(CupDraw!R45="","",CupDraw!R45)</f>
        <v/>
      </c>
      <c r="L46" s="78"/>
      <c r="M46" s="58"/>
      <c r="N46" s="67"/>
      <c r="O46" s="62" t="str">
        <f>IF(CupDraw!V45="","",CupDraw!V45)</f>
        <v/>
      </c>
      <c r="P46" s="72" t="str">
        <f>IF(CupDraw!W45="","",CupDraw!W45)</f>
        <v/>
      </c>
      <c r="Q46" s="61" t="str">
        <f>IF(CupDraw!X45="","",CupDraw!X45)</f>
        <v/>
      </c>
      <c r="R46" s="78"/>
      <c r="S46" s="58"/>
      <c r="X46" s="78"/>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2:58">
      <c r="B47" s="84">
        <f>CupDraw!I46</f>
        <v>23</v>
      </c>
      <c r="C47" s="71" t="str">
        <f>IF(CupDraw!J46="","",CupDraw!J46)</f>
        <v/>
      </c>
      <c r="D47" s="72" t="str">
        <f>IF(CupDraw!K46="","",CupDraw!K46)</f>
        <v/>
      </c>
      <c r="E47" s="81" t="str">
        <f>IF(CupDraw!L46="","",CupDraw!L46)</f>
        <v/>
      </c>
      <c r="F47" s="58"/>
      <c r="G47" s="58"/>
      <c r="H47" s="84">
        <f>CupDraw!O46</f>
        <v>23</v>
      </c>
      <c r="I47" s="68" t="str">
        <f>IF(CupDraw!P46="","",CupDraw!P46)</f>
        <v>Gareth Powell</v>
      </c>
      <c r="J47" s="72" t="str">
        <f>IF(CupDraw!Q46="","",CupDraw!Q46)</f>
        <v/>
      </c>
      <c r="K47" s="81" t="str">
        <f>IF(CupDraw!R46="","",CupDraw!R46)</f>
        <v/>
      </c>
      <c r="L47" s="78"/>
      <c r="M47" s="58"/>
      <c r="N47" s="60"/>
      <c r="O47" s="62" t="str">
        <f>IF(CupDraw!V46="","",CupDraw!V46)</f>
        <v/>
      </c>
      <c r="P47" s="72" t="str">
        <f>IF(CupDraw!W46="","",CupDraw!W46)</f>
        <v/>
      </c>
      <c r="Q47" s="73" t="str">
        <f>IF(CupDraw!X46="","",CupDraw!X46)</f>
        <v/>
      </c>
      <c r="R47" s="79"/>
      <c r="S47" s="58"/>
      <c r="X47" s="78"/>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2:58">
      <c r="B48" s="83"/>
      <c r="C48" s="71" t="str">
        <f>IF(CupDraw!J47="","",CupDraw!J47)</f>
        <v/>
      </c>
      <c r="D48" s="72" t="str">
        <f>IF(CupDraw!K47="","",CupDraw!K47)</f>
        <v/>
      </c>
      <c r="E48" s="124" t="str">
        <f>IF(CupDraw!L47="","",CupDraw!L47)</f>
        <v/>
      </c>
      <c r="F48" s="58"/>
      <c r="G48" s="58"/>
      <c r="H48" s="83"/>
      <c r="I48" s="68" t="str">
        <f>IF(CupDraw!P47="","",CupDraw!P47)</f>
        <v>Bye</v>
      </c>
      <c r="J48" s="72">
        <f>IF(CupDraw!Q47="","",CupDraw!Q47)</f>
        <v>-10</v>
      </c>
      <c r="K48" s="61" t="str">
        <f>IF(CupDraw!R47="","",CupDraw!R47)</f>
        <v/>
      </c>
      <c r="L48" s="78"/>
      <c r="M48" s="58"/>
      <c r="N48" s="67"/>
      <c r="O48" s="62" t="str">
        <f>IF(CupDraw!V47="","",CupDraw!V47)</f>
        <v/>
      </c>
      <c r="P48" s="72" t="str">
        <f>IF(CupDraw!W47="","",CupDraw!W47)</f>
        <v/>
      </c>
      <c r="Q48" s="61" t="str">
        <f>IF(CupDraw!X47="","",CupDraw!X47)</f>
        <v/>
      </c>
      <c r="R48" s="79"/>
      <c r="S48" s="58"/>
      <c r="X48" s="80"/>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2:58">
      <c r="B49" s="84">
        <f>CupDraw!I48</f>
        <v>24</v>
      </c>
      <c r="C49" s="71" t="str">
        <f>IF(CupDraw!J48="","",CupDraw!J48)</f>
        <v/>
      </c>
      <c r="D49" s="72" t="str">
        <f>IF(CupDraw!K48="","",CupDraw!K48)</f>
        <v/>
      </c>
      <c r="E49" s="81" t="str">
        <f>IF(CupDraw!L48="","",CupDraw!L48)</f>
        <v/>
      </c>
      <c r="F49" s="58"/>
      <c r="G49" s="58"/>
      <c r="H49" s="84">
        <f>CupDraw!O48</f>
        <v>24</v>
      </c>
      <c r="I49" s="68" t="str">
        <f>IF(CupDraw!P48="","",CupDraw!P48)</f>
        <v>Graham Miller</v>
      </c>
      <c r="J49" s="72" t="str">
        <f>IF(CupDraw!Q48="","",CupDraw!Q48)</f>
        <v/>
      </c>
      <c r="K49" s="81" t="str">
        <f>IF(CupDraw!R48="","",CupDraw!R48)</f>
        <v/>
      </c>
      <c r="L49" s="78"/>
      <c r="M49" s="58"/>
      <c r="N49" s="58"/>
      <c r="O49" s="58"/>
      <c r="P49" s="58"/>
      <c r="Q49" s="58"/>
      <c r="R49" s="79"/>
      <c r="S49" s="58"/>
      <c r="X49" s="80"/>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2:58">
      <c r="B50" s="83"/>
      <c r="C50" s="71" t="str">
        <f>IF(CupDraw!J49="","",CupDraw!J49)</f>
        <v/>
      </c>
      <c r="D50" s="72" t="str">
        <f>IF(CupDraw!K49="","",CupDraw!K49)</f>
        <v/>
      </c>
      <c r="E50" s="124" t="str">
        <f>IF(CupDraw!L49="","",CupDraw!L49)</f>
        <v/>
      </c>
      <c r="F50" s="58"/>
      <c r="G50" s="58"/>
      <c r="H50" s="83"/>
      <c r="I50" s="68" t="str">
        <f>IF(CupDraw!P49="","",CupDraw!P49)</f>
        <v>Bye</v>
      </c>
      <c r="J50" s="72">
        <f>IF(CupDraw!Q49="","",CupDraw!Q49)</f>
        <v>-10</v>
      </c>
      <c r="K50" s="61" t="str">
        <f>IF(CupDraw!R49="","",CupDraw!R49)</f>
        <v/>
      </c>
      <c r="L50" s="78"/>
      <c r="M50" s="58"/>
      <c r="N50" s="58"/>
      <c r="O50" s="58"/>
      <c r="P50" s="58"/>
      <c r="Q50" s="58"/>
      <c r="R50" s="79"/>
      <c r="S50" s="58"/>
      <c r="X50" s="80"/>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2:58">
      <c r="B51" s="84">
        <f>CupDraw!I50</f>
        <v>25</v>
      </c>
      <c r="C51" s="71" t="str">
        <f>IF(CupDraw!J50="","",CupDraw!J50)</f>
        <v/>
      </c>
      <c r="D51" s="72" t="str">
        <f>IF(CupDraw!K50="","",CupDraw!K50)</f>
        <v/>
      </c>
      <c r="E51" s="81" t="str">
        <f>IF(CupDraw!L50="","",CupDraw!L50)</f>
        <v/>
      </c>
      <c r="F51" s="58"/>
      <c r="G51" s="58"/>
      <c r="H51" s="84">
        <f>CupDraw!O50</f>
        <v>25</v>
      </c>
      <c r="I51" s="68" t="str">
        <f>IF(CupDraw!P50="","",CupDraw!P50)</f>
        <v>Paul Barnes</v>
      </c>
      <c r="J51" s="72" t="str">
        <f>IF(CupDraw!Q50="","",CupDraw!Q50)</f>
        <v/>
      </c>
      <c r="K51" s="81" t="str">
        <f>IF(CupDraw!R50="","",CupDraw!R50)</f>
        <v/>
      </c>
      <c r="L51" s="78"/>
      <c r="M51" s="76"/>
      <c r="N51" s="76"/>
      <c r="O51" s="76"/>
      <c r="P51" s="76"/>
      <c r="Q51" s="76"/>
      <c r="R51" s="79"/>
      <c r="S51" s="76"/>
      <c r="X51" s="1"/>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2:58">
      <c r="B52" s="83"/>
      <c r="C52" s="71" t="str">
        <f>IF(CupDraw!J51="","",CupDraw!J51)</f>
        <v/>
      </c>
      <c r="D52" s="72" t="str">
        <f>IF(CupDraw!K51="","",CupDraw!K51)</f>
        <v/>
      </c>
      <c r="E52" s="124" t="str">
        <f>IF(CupDraw!L51="","",CupDraw!L51)</f>
        <v/>
      </c>
      <c r="F52" s="58"/>
      <c r="G52" s="58"/>
      <c r="H52" s="83"/>
      <c r="I52" s="68" t="str">
        <f>IF(CupDraw!P51="","",CupDraw!P51)</f>
        <v>Bye</v>
      </c>
      <c r="J52" s="72">
        <f>IF(CupDraw!Q51="","",CupDraw!Q51)</f>
        <v>-10</v>
      </c>
      <c r="K52" s="61" t="str">
        <f>IF(CupDraw!R51="","",CupDraw!R51)</f>
        <v/>
      </c>
      <c r="L52" s="78"/>
      <c r="M52" s="76"/>
      <c r="N52" s="76"/>
      <c r="O52" s="76"/>
      <c r="P52" s="76"/>
      <c r="Q52" s="76"/>
      <c r="R52" s="79"/>
      <c r="S52" s="76"/>
      <c r="X52" s="80"/>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2:58">
      <c r="B53" s="84">
        <f>CupDraw!I52</f>
        <v>26</v>
      </c>
      <c r="C53" s="71" t="str">
        <f>IF(CupDraw!J52="","",CupDraw!J52)</f>
        <v/>
      </c>
      <c r="D53" s="72" t="str">
        <f>IF(CupDraw!K52="","",CupDraw!K52)</f>
        <v/>
      </c>
      <c r="E53" s="81" t="str">
        <f>IF(CupDraw!L52="","",CupDraw!L52)</f>
        <v/>
      </c>
      <c r="F53" s="58"/>
      <c r="G53" s="58"/>
      <c r="H53" s="84">
        <f>CupDraw!O52</f>
        <v>26</v>
      </c>
      <c r="I53" s="68" t="str">
        <f>IF(CupDraw!P52="","",CupDraw!P52)</f>
        <v>Alick Rocca</v>
      </c>
      <c r="J53" s="72" t="str">
        <f>IF(CupDraw!Q52="","",CupDraw!Q52)</f>
        <v/>
      </c>
      <c r="K53" s="81" t="str">
        <f>IF(CupDraw!R52="","",CupDraw!R52)</f>
        <v/>
      </c>
      <c r="L53" s="78"/>
      <c r="M53" s="76"/>
      <c r="N53" s="76"/>
      <c r="O53" s="76"/>
      <c r="P53" s="76"/>
      <c r="Q53" s="76"/>
      <c r="R53" s="79"/>
      <c r="S53" s="76"/>
      <c r="X53" s="80"/>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2:58">
      <c r="B54" s="83"/>
      <c r="C54" s="71" t="str">
        <f>IF(CupDraw!J53="","",CupDraw!J53)</f>
        <v/>
      </c>
      <c r="D54" s="72" t="str">
        <f>IF(CupDraw!K53="","",CupDraw!K53)</f>
        <v/>
      </c>
      <c r="E54" s="124" t="str">
        <f>IF(CupDraw!L53="","",CupDraw!L53)</f>
        <v/>
      </c>
      <c r="F54" s="58"/>
      <c r="G54" s="58"/>
      <c r="H54" s="83"/>
      <c r="I54" s="68" t="str">
        <f>IF(CupDraw!P53="","",CupDraw!P53)</f>
        <v>Bye</v>
      </c>
      <c r="J54" s="72">
        <f>IF(CupDraw!Q53="","",CupDraw!Q53)</f>
        <v>-10</v>
      </c>
      <c r="K54" s="61" t="str">
        <f>IF(CupDraw!R53="","",CupDraw!R53)</f>
        <v/>
      </c>
      <c r="L54" s="78"/>
      <c r="M54" s="76"/>
      <c r="N54" s="76"/>
      <c r="O54" s="76"/>
      <c r="P54" s="76"/>
      <c r="Q54" s="76"/>
      <c r="R54" s="79"/>
      <c r="S54" s="76"/>
      <c r="X54" s="80"/>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2:58">
      <c r="B55" s="84">
        <f>CupDraw!I54</f>
        <v>27</v>
      </c>
      <c r="C55" s="71" t="str">
        <f>IF(CupDraw!J54="","",CupDraw!J54)</f>
        <v/>
      </c>
      <c r="D55" s="72" t="str">
        <f>IF(CupDraw!K54="","",CupDraw!K54)</f>
        <v/>
      </c>
      <c r="E55" s="81" t="str">
        <f>IF(CupDraw!L54="","",CupDraw!L54)</f>
        <v/>
      </c>
      <c r="F55" s="58"/>
      <c r="G55" s="58"/>
      <c r="H55" s="84">
        <f>CupDraw!O54</f>
        <v>27</v>
      </c>
      <c r="I55" s="68" t="str">
        <f>IF(CupDraw!P54="","",CupDraw!P54)</f>
        <v>Dave Bell</v>
      </c>
      <c r="J55" s="72" t="str">
        <f>IF(CupDraw!Q54="","",CupDraw!Q54)</f>
        <v/>
      </c>
      <c r="K55" s="81" t="str">
        <f>IF(CupDraw!R54="","",CupDraw!R54)</f>
        <v/>
      </c>
      <c r="L55" s="78"/>
      <c r="M55" s="76"/>
      <c r="N55" s="76"/>
      <c r="O55" s="76"/>
      <c r="P55" s="76"/>
      <c r="Q55" s="76"/>
      <c r="R55" s="79"/>
      <c r="S55" s="76"/>
      <c r="X55" s="80"/>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2:58">
      <c r="B56" s="83"/>
      <c r="C56" s="71" t="str">
        <f>IF(CupDraw!J55="","",CupDraw!J55)</f>
        <v/>
      </c>
      <c r="D56" s="72" t="str">
        <f>IF(CupDraw!K55="","",CupDraw!K55)</f>
        <v/>
      </c>
      <c r="E56" s="124" t="str">
        <f>IF(CupDraw!L55="","",CupDraw!L55)</f>
        <v/>
      </c>
      <c r="F56" s="58"/>
      <c r="G56" s="58"/>
      <c r="H56" s="83"/>
      <c r="I56" s="68" t="str">
        <f>IF(CupDraw!P55="","",CupDraw!P55)</f>
        <v>Bye</v>
      </c>
      <c r="J56" s="72">
        <f>IF(CupDraw!Q55="","",CupDraw!Q55)</f>
        <v>-10</v>
      </c>
      <c r="K56" s="61" t="str">
        <f>IF(CupDraw!R55="","",CupDraw!R55)</f>
        <v/>
      </c>
      <c r="L56" s="78"/>
      <c r="M56" s="76"/>
      <c r="N56" s="76"/>
      <c r="O56" s="76"/>
      <c r="P56" s="76"/>
      <c r="Q56" s="76"/>
      <c r="R56" s="79"/>
      <c r="S56" s="76"/>
      <c r="X56" s="80"/>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2:58">
      <c r="B57" s="84">
        <f>CupDraw!I56</f>
        <v>28</v>
      </c>
      <c r="C57" s="71" t="str">
        <f>IF(CupDraw!J56="","",CupDraw!J56)</f>
        <v/>
      </c>
      <c r="D57" s="72" t="str">
        <f>IF(CupDraw!K56="","",CupDraw!K56)</f>
        <v/>
      </c>
      <c r="E57" s="81" t="str">
        <f>IF(CupDraw!L56="","",CupDraw!L56)</f>
        <v/>
      </c>
      <c r="F57" s="58"/>
      <c r="G57" s="58"/>
      <c r="H57" s="84">
        <f>CupDraw!O56</f>
        <v>28</v>
      </c>
      <c r="I57" s="68" t="str">
        <f>IF(CupDraw!P56="","",CupDraw!P56)</f>
        <v>Chris Townsend</v>
      </c>
      <c r="J57" s="72" t="str">
        <f>IF(CupDraw!Q56="","",CupDraw!Q56)</f>
        <v/>
      </c>
      <c r="K57" s="81" t="str">
        <f>IF(CupDraw!R56="","",CupDraw!R56)</f>
        <v/>
      </c>
      <c r="L57" s="78"/>
      <c r="M57" s="76"/>
      <c r="N57" s="76"/>
      <c r="O57" s="76"/>
      <c r="P57" s="76"/>
      <c r="Q57" s="76"/>
      <c r="R57" s="79"/>
      <c r="S57" s="76"/>
      <c r="X57" s="80"/>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2:58">
      <c r="B58" s="83"/>
      <c r="C58" s="71" t="str">
        <f>IF(CupDraw!J57="","",CupDraw!J57)</f>
        <v/>
      </c>
      <c r="D58" s="72" t="str">
        <f>IF(CupDraw!K57="","",CupDraw!K57)</f>
        <v/>
      </c>
      <c r="E58" s="124" t="str">
        <f>IF(CupDraw!L57="","",CupDraw!L57)</f>
        <v/>
      </c>
      <c r="F58" s="58"/>
      <c r="G58" s="58"/>
      <c r="H58" s="83"/>
      <c r="I58" s="68" t="str">
        <f>IF(CupDraw!P57="","",CupDraw!P57)</f>
        <v>Bye</v>
      </c>
      <c r="J58" s="72">
        <f>IF(CupDraw!Q57="","",CupDraw!Q57)</f>
        <v>-10</v>
      </c>
      <c r="K58" s="61" t="str">
        <f>IF(CupDraw!R57="","",CupDraw!R57)</f>
        <v/>
      </c>
      <c r="L58" s="78"/>
      <c r="M58" s="76"/>
      <c r="N58" s="76"/>
      <c r="O58" s="76"/>
      <c r="P58" s="76"/>
      <c r="Q58" s="76"/>
      <c r="R58" s="79"/>
      <c r="S58" s="76"/>
      <c r="X58" s="80"/>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row>
    <row r="59" spans="2:58">
      <c r="B59" s="84">
        <f>CupDraw!I58</f>
        <v>29</v>
      </c>
      <c r="C59" s="71" t="str">
        <f>IF(CupDraw!J58="","",CupDraw!J58)</f>
        <v/>
      </c>
      <c r="D59" s="72" t="str">
        <f>IF(CupDraw!K58="","",CupDraw!K58)</f>
        <v/>
      </c>
      <c r="E59" s="81" t="str">
        <f>IF(CupDraw!L58="","",CupDraw!L58)</f>
        <v/>
      </c>
      <c r="F59" s="58"/>
      <c r="G59" s="58"/>
      <c r="H59" s="84">
        <f>CupDraw!O58</f>
        <v>29</v>
      </c>
      <c r="I59" s="68" t="str">
        <f>IF(CupDraw!P58="","",CupDraw!P58)</f>
        <v>Dan Gibbard</v>
      </c>
      <c r="J59" s="72" t="str">
        <f>IF(CupDraw!Q58="","",CupDraw!Q58)</f>
        <v/>
      </c>
      <c r="K59" s="81" t="str">
        <f>IF(CupDraw!R58="","",CupDraw!R58)</f>
        <v/>
      </c>
      <c r="L59" s="78"/>
      <c r="M59" s="76"/>
      <c r="N59" s="76"/>
      <c r="O59" s="76"/>
      <c r="P59" s="76"/>
      <c r="Q59" s="76"/>
      <c r="R59" s="79"/>
      <c r="S59" s="76"/>
      <c r="T59" s="58"/>
      <c r="U59" s="58"/>
      <c r="V59" s="58"/>
      <c r="W59" s="58"/>
      <c r="X59" s="80"/>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row>
    <row r="60" spans="2:58">
      <c r="B60" s="83"/>
      <c r="C60" s="71" t="str">
        <f>IF(CupDraw!J59="","",CupDraw!J59)</f>
        <v/>
      </c>
      <c r="D60" s="72" t="str">
        <f>IF(CupDraw!K59="","",CupDraw!K59)</f>
        <v/>
      </c>
      <c r="E60" s="124" t="str">
        <f>IF(CupDraw!L59="","",CupDraw!L59)</f>
        <v/>
      </c>
      <c r="F60" s="58"/>
      <c r="G60" s="58"/>
      <c r="H60" s="83"/>
      <c r="I60" s="68" t="str">
        <f>IF(CupDraw!P59="","",CupDraw!P59)</f>
        <v>Bye</v>
      </c>
      <c r="J60" s="72">
        <f>IF(CupDraw!Q59="","",CupDraw!Q59)</f>
        <v>-10</v>
      </c>
      <c r="K60" s="61" t="str">
        <f>IF(CupDraw!R59="","",CupDraw!R59)</f>
        <v/>
      </c>
      <c r="L60" s="78"/>
      <c r="M60" s="76"/>
      <c r="N60" s="76"/>
      <c r="O60" s="76"/>
      <c r="P60" s="76"/>
      <c r="Q60" s="76"/>
      <c r="R60" s="79"/>
      <c r="S60" s="76"/>
      <c r="T60" s="58"/>
      <c r="U60" s="58"/>
      <c r="V60" s="58"/>
      <c r="W60" s="58"/>
      <c r="X60" s="80"/>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row>
    <row r="61" spans="2:58">
      <c r="B61" s="84">
        <f>CupDraw!I60</f>
        <v>30</v>
      </c>
      <c r="C61" s="71" t="str">
        <f>IF(CupDraw!J60="","",CupDraw!J60)</f>
        <v/>
      </c>
      <c r="D61" s="72" t="str">
        <f>IF(CupDraw!K60="","",CupDraw!K60)</f>
        <v/>
      </c>
      <c r="E61" s="81" t="str">
        <f>IF(CupDraw!L60="","",CupDraw!L60)</f>
        <v/>
      </c>
      <c r="F61" s="58"/>
      <c r="G61" s="58"/>
      <c r="H61" s="84">
        <f>CupDraw!O60</f>
        <v>30</v>
      </c>
      <c r="I61" s="68" t="str">
        <f>IF(CupDraw!P60="","",CupDraw!P60)</f>
        <v>Frank Allen</v>
      </c>
      <c r="J61" s="72" t="str">
        <f>IF(CupDraw!Q60="","",CupDraw!Q60)</f>
        <v/>
      </c>
      <c r="K61" s="81" t="str">
        <f>IF(CupDraw!R60="","",CupDraw!R60)</f>
        <v/>
      </c>
      <c r="L61" s="78"/>
      <c r="M61" s="76"/>
      <c r="N61" s="76"/>
      <c r="O61" s="76"/>
      <c r="P61" s="76"/>
      <c r="Q61" s="76"/>
      <c r="R61" s="79"/>
      <c r="S61" s="76"/>
      <c r="T61" s="58"/>
      <c r="U61" s="58"/>
      <c r="V61" s="58"/>
      <c r="W61" s="58"/>
      <c r="X61" s="80"/>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row>
    <row r="62" spans="2:58">
      <c r="B62" s="83"/>
      <c r="C62" s="71" t="str">
        <f>IF(CupDraw!J61="","",CupDraw!J61)</f>
        <v/>
      </c>
      <c r="D62" s="72" t="str">
        <f>IF(CupDraw!K61="","",CupDraw!K61)</f>
        <v/>
      </c>
      <c r="E62" s="124" t="str">
        <f>IF(CupDraw!L61="","",CupDraw!L61)</f>
        <v/>
      </c>
      <c r="F62" s="58"/>
      <c r="G62" s="58"/>
      <c r="H62" s="83"/>
      <c r="I62" s="68" t="str">
        <f>IF(CupDraw!P61="","",CupDraw!P61)</f>
        <v>Bye</v>
      </c>
      <c r="J62" s="72">
        <f>IF(CupDraw!Q61="","",CupDraw!Q61)</f>
        <v>-10</v>
      </c>
      <c r="K62" s="61" t="str">
        <f>IF(CupDraw!R61="","",CupDraw!R61)</f>
        <v/>
      </c>
      <c r="L62" s="78"/>
      <c r="M62" s="76"/>
      <c r="N62" s="76"/>
      <c r="O62" s="76"/>
      <c r="P62" s="76"/>
      <c r="Q62" s="76"/>
      <c r="R62" s="79"/>
      <c r="S62" s="76"/>
      <c r="T62" s="58"/>
      <c r="U62" s="58"/>
      <c r="V62" s="58"/>
      <c r="W62" s="58"/>
      <c r="X62" s="80"/>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row>
    <row r="63" spans="2:58">
      <c r="B63" s="84">
        <f>CupDraw!I62</f>
        <v>31</v>
      </c>
      <c r="C63" s="71" t="str">
        <f>IF(CupDraw!J62="","",CupDraw!J62)</f>
        <v/>
      </c>
      <c r="D63" s="72" t="str">
        <f>IF(CupDraw!K62="","",CupDraw!K62)</f>
        <v/>
      </c>
      <c r="E63" s="81" t="str">
        <f>IF(CupDraw!L62="","",CupDraw!L62)</f>
        <v/>
      </c>
      <c r="F63" s="58"/>
      <c r="G63" s="58"/>
      <c r="H63" s="84">
        <f>CupDraw!O62</f>
        <v>31</v>
      </c>
      <c r="I63" s="68" t="str">
        <f>IF(CupDraw!P62="","",CupDraw!P62)</f>
        <v>Emma McDermott</v>
      </c>
      <c r="J63" s="72" t="str">
        <f>IF(CupDraw!Q62="","",CupDraw!Q62)</f>
        <v/>
      </c>
      <c r="K63" s="81" t="str">
        <f>IF(CupDraw!R62="","",CupDraw!R62)</f>
        <v/>
      </c>
      <c r="L63" s="78"/>
      <c r="M63" s="76"/>
      <c r="N63" s="76"/>
      <c r="O63" s="76"/>
      <c r="P63" s="76"/>
      <c r="Q63" s="76"/>
      <c r="R63" s="79"/>
      <c r="S63" s="76"/>
      <c r="T63" s="58"/>
      <c r="U63" s="58"/>
      <c r="V63" s="58"/>
      <c r="W63" s="58"/>
      <c r="X63" s="80"/>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row>
    <row r="64" spans="2:58">
      <c r="B64" s="83"/>
      <c r="C64" s="71" t="str">
        <f>IF(CupDraw!J63="","",CupDraw!J63)</f>
        <v/>
      </c>
      <c r="D64" s="72" t="str">
        <f>IF(CupDraw!K63="","",CupDraw!K63)</f>
        <v/>
      </c>
      <c r="E64" s="124" t="str">
        <f>IF(CupDraw!L63="","",CupDraw!L63)</f>
        <v/>
      </c>
      <c r="F64" s="58"/>
      <c r="G64" s="58"/>
      <c r="H64" s="83"/>
      <c r="I64" s="68" t="str">
        <f>IF(CupDraw!P63="","",CupDraw!P63)</f>
        <v>Bye</v>
      </c>
      <c r="J64" s="72">
        <f>IF(CupDraw!Q63="","",CupDraw!Q63)</f>
        <v>-10</v>
      </c>
      <c r="K64" s="61" t="str">
        <f>IF(CupDraw!R63="","",CupDraw!R63)</f>
        <v/>
      </c>
      <c r="L64" s="78"/>
      <c r="M64" s="76"/>
      <c r="N64" s="76"/>
      <c r="O64" s="76"/>
      <c r="P64" s="76"/>
      <c r="Q64" s="76"/>
      <c r="R64" s="79"/>
      <c r="S64" s="76"/>
      <c r="X64" s="80"/>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row>
    <row r="65" spans="2:58">
      <c r="B65" s="84">
        <f>CupDraw!I64</f>
        <v>32</v>
      </c>
      <c r="C65" s="71" t="str">
        <f>IF(CupDraw!J64="","",CupDraw!J64)</f>
        <v/>
      </c>
      <c r="D65" s="72" t="str">
        <f>IF(CupDraw!K64="","",CupDraw!K64)</f>
        <v/>
      </c>
      <c r="E65" s="81" t="str">
        <f>IF(CupDraw!L64="","",CupDraw!L64)</f>
        <v/>
      </c>
      <c r="F65" s="58"/>
      <c r="G65" s="58"/>
      <c r="H65" s="84">
        <f>CupDraw!O64</f>
        <v>32</v>
      </c>
      <c r="I65" s="68" t="str">
        <f>IF(CupDraw!P64="","",CupDraw!P64)</f>
        <v>Mike Penk</v>
      </c>
      <c r="J65" s="72" t="str">
        <f>IF(CupDraw!Q64="","",CupDraw!Q64)</f>
        <v/>
      </c>
      <c r="K65" s="81" t="str">
        <f>IF(CupDraw!R64="","",CupDraw!R64)</f>
        <v/>
      </c>
      <c r="L65" s="78"/>
      <c r="M65" s="76"/>
      <c r="N65" s="76"/>
      <c r="O65" s="76"/>
      <c r="P65" s="76"/>
      <c r="Q65" s="76"/>
      <c r="R65" s="79"/>
      <c r="S65" s="76"/>
      <c r="X65" s="78"/>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row>
    <row r="66" spans="2:58">
      <c r="B66" s="83"/>
      <c r="C66" s="71" t="str">
        <f>IF(CupDraw!J65="","",CupDraw!J65)</f>
        <v/>
      </c>
      <c r="D66" s="72" t="str">
        <f>IF(CupDraw!K65="","",CupDraw!K65)</f>
        <v/>
      </c>
      <c r="E66" s="124" t="str">
        <f>IF(CupDraw!L65="","",CupDraw!L65)</f>
        <v/>
      </c>
      <c r="F66" s="58"/>
      <c r="G66" s="58"/>
      <c r="H66" s="83"/>
      <c r="I66" s="68" t="str">
        <f>IF(CupDraw!P65="","",CupDraw!P65)</f>
        <v>Bye</v>
      </c>
      <c r="J66" s="72">
        <f>IF(CupDraw!Q65="","",CupDraw!Q65)</f>
        <v>-10</v>
      </c>
      <c r="K66" s="61" t="str">
        <f>IF(CupDraw!R65="","",CupDraw!R65)</f>
        <v/>
      </c>
      <c r="L66" s="78"/>
      <c r="M66" s="76"/>
      <c r="N66" s="76"/>
      <c r="O66" s="76"/>
      <c r="P66" s="76"/>
      <c r="Q66" s="76"/>
      <c r="R66" s="79"/>
      <c r="S66" s="76"/>
      <c r="X66" s="78"/>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row>
    <row r="67" spans="2:58">
      <c r="B67" s="84">
        <f>CupDraw!I66</f>
        <v>33</v>
      </c>
      <c r="C67" s="71" t="str">
        <f>IF(CupDraw!J66="","",CupDraw!J66)</f>
        <v/>
      </c>
      <c r="D67" s="72" t="str">
        <f>IF(CupDraw!K66="","",CupDraw!K66)</f>
        <v/>
      </c>
      <c r="E67" s="81" t="str">
        <f>IF(CupDraw!L66="","",CupDraw!L66)</f>
        <v/>
      </c>
      <c r="F67" s="58"/>
      <c r="G67" s="58"/>
      <c r="H67" s="59"/>
      <c r="I67" s="58"/>
      <c r="J67" s="86"/>
      <c r="K67" s="58"/>
      <c r="L67" s="79"/>
      <c r="M67" s="76"/>
      <c r="N67" s="76"/>
      <c r="O67" s="76"/>
      <c r="P67" s="76"/>
      <c r="Q67" s="76"/>
      <c r="R67" s="79"/>
      <c r="S67" s="76"/>
      <c r="X67" s="78"/>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row>
    <row r="68" spans="2:58">
      <c r="B68" s="83"/>
      <c r="C68" s="71" t="str">
        <f>IF(CupDraw!J67="","",CupDraw!J67)</f>
        <v/>
      </c>
      <c r="D68" s="72" t="str">
        <f>IF(CupDraw!K67="","",CupDraw!K67)</f>
        <v/>
      </c>
      <c r="E68" s="124" t="str">
        <f>IF(CupDraw!L67="","",CupDraw!L67)</f>
        <v/>
      </c>
      <c r="F68" s="58"/>
      <c r="G68" s="58"/>
      <c r="H68" s="59"/>
      <c r="I68" s="58"/>
      <c r="J68" s="86"/>
      <c r="K68" s="58"/>
      <c r="L68" s="79"/>
      <c r="M68" s="76"/>
      <c r="N68" s="76"/>
      <c r="O68" s="76"/>
      <c r="P68" s="76"/>
      <c r="Q68" s="76"/>
      <c r="R68" s="79"/>
      <c r="S68" s="76"/>
      <c r="X68" s="78"/>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row>
    <row r="69" spans="2:58">
      <c r="B69" s="84">
        <f>CupDraw!I68</f>
        <v>34</v>
      </c>
      <c r="C69" s="71" t="str">
        <f>IF(CupDraw!J68="","",CupDraw!J68)</f>
        <v/>
      </c>
      <c r="D69" s="72" t="str">
        <f>IF(CupDraw!K68="","",CupDraw!K68)</f>
        <v/>
      </c>
      <c r="E69" s="81" t="str">
        <f>IF(CupDraw!L68="","",CupDraw!L68)</f>
        <v/>
      </c>
      <c r="F69" s="58"/>
      <c r="G69" s="58"/>
      <c r="H69" s="59" t="str">
        <f>CupDraw!O68</f>
        <v>Earlier drawn ties</v>
      </c>
      <c r="I69" s="76"/>
      <c r="J69" s="87"/>
      <c r="K69" s="76"/>
      <c r="L69" s="80"/>
      <c r="M69" s="76"/>
      <c r="N69" s="76"/>
      <c r="O69" s="76"/>
      <c r="P69" s="76"/>
      <c r="Q69" s="76"/>
      <c r="R69" s="79"/>
      <c r="S69" s="76"/>
      <c r="X69" s="80"/>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row>
    <row r="70" spans="2:58">
      <c r="B70" s="83"/>
      <c r="C70" s="71" t="str">
        <f>IF(CupDraw!J69="","",CupDraw!J69)</f>
        <v/>
      </c>
      <c r="D70" s="72" t="str">
        <f>IF(CupDraw!K69="","",CupDraw!K69)</f>
        <v/>
      </c>
      <c r="E70" s="124" t="str">
        <f>IF(CupDraw!L69="","",CupDraw!L69)</f>
        <v/>
      </c>
      <c r="F70" s="58"/>
      <c r="G70" s="58"/>
      <c r="H70" s="685">
        <f>IF(CupDraw!O69="","",CupDraw!O69)</f>
        <v>11</v>
      </c>
      <c r="I70" s="68" t="str">
        <f>IF(CupDraw!P69="","",CupDraw!P69)</f>
        <v>Nick Blocksidge</v>
      </c>
      <c r="J70" s="72">
        <f>IF(CupDraw!Q69="","",CupDraw!Q69)</f>
        <v>-10</v>
      </c>
      <c r="K70" s="81" t="str">
        <f>IF(CupDraw!R69="","",CupDraw!R69)</f>
        <v>R</v>
      </c>
      <c r="L70" s="78"/>
      <c r="M70" s="76"/>
      <c r="N70" s="76"/>
      <c r="O70" s="76"/>
      <c r="P70" s="76"/>
      <c r="Q70" s="76"/>
      <c r="R70" s="79"/>
      <c r="S70" s="76"/>
      <c r="X70" s="80"/>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row>
    <row r="71" spans="2:58">
      <c r="B71" s="84">
        <f>CupDraw!I70</f>
        <v>35</v>
      </c>
      <c r="C71" s="71" t="str">
        <f>IF(CupDraw!J70="","",CupDraw!J70)</f>
        <v/>
      </c>
      <c r="D71" s="72" t="str">
        <f>IF(CupDraw!K70="","",CupDraw!K70)</f>
        <v/>
      </c>
      <c r="E71" s="81" t="str">
        <f>IF(CupDraw!L70="","",CupDraw!L70)</f>
        <v/>
      </c>
      <c r="F71" s="58"/>
      <c r="G71" s="58"/>
      <c r="H71" s="686">
        <f>CupDraw!O70</f>
        <v>0</v>
      </c>
      <c r="I71" s="68" t="str">
        <f>IF(CupDraw!P70="","",CupDraw!P70)</f>
        <v>Bob Bailey</v>
      </c>
      <c r="J71" s="72">
        <f>IF(CupDraw!Q70="","",CupDraw!Q70)</f>
        <v>-10</v>
      </c>
      <c r="K71" s="61" t="str">
        <f>IF(CupDraw!R70="","",CupDraw!R70)</f>
        <v/>
      </c>
      <c r="L71" s="78"/>
      <c r="M71" s="76"/>
      <c r="N71" s="76"/>
      <c r="O71" s="76"/>
      <c r="P71" s="76"/>
      <c r="Q71" s="76"/>
      <c r="R71" s="79"/>
      <c r="S71" s="76"/>
      <c r="X71" s="80"/>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row>
    <row r="72" spans="2:58">
      <c r="B72" s="83"/>
      <c r="C72" s="71" t="str">
        <f>IF(CupDraw!J71="","",CupDraw!J71)</f>
        <v/>
      </c>
      <c r="D72" s="72" t="str">
        <f>IF(CupDraw!K71="","",CupDraw!K71)</f>
        <v/>
      </c>
      <c r="E72" s="124" t="str">
        <f>IF(CupDraw!L71="","",CupDraw!L71)</f>
        <v/>
      </c>
      <c r="F72" s="58"/>
      <c r="G72" s="58"/>
      <c r="H72" s="685" t="str">
        <f>IF(CupDraw!O71="","",CupDraw!O71)</f>
        <v/>
      </c>
      <c r="I72" s="68" t="str">
        <f>IF(CupDraw!P71="","",CupDraw!P71)</f>
        <v/>
      </c>
      <c r="J72" s="72" t="str">
        <f>IF(CupDraw!Q71="","",CupDraw!Q71)</f>
        <v/>
      </c>
      <c r="K72" s="81" t="str">
        <f>IF(CupDraw!R71="","",CupDraw!R71)</f>
        <v/>
      </c>
      <c r="L72" s="78"/>
      <c r="M72" s="76"/>
      <c r="N72" s="76"/>
      <c r="O72" s="76"/>
      <c r="P72" s="76"/>
      <c r="Q72" s="76"/>
      <c r="R72" s="79"/>
      <c r="S72" s="76"/>
      <c r="X72" s="80"/>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row>
    <row r="73" spans="2:58">
      <c r="B73" s="84">
        <f>CupDraw!I72</f>
        <v>36</v>
      </c>
      <c r="C73" s="71" t="str">
        <f>IF(CupDraw!J72="","",CupDraw!J72)</f>
        <v/>
      </c>
      <c r="D73" s="72" t="str">
        <f>IF(CupDraw!K72="","",CupDraw!K72)</f>
        <v/>
      </c>
      <c r="E73" s="81" t="str">
        <f>IF(CupDraw!L72="","",CupDraw!L72)</f>
        <v/>
      </c>
      <c r="F73" s="58"/>
      <c r="G73" s="58"/>
      <c r="H73" s="686">
        <f>CupDraw!O72</f>
        <v>0</v>
      </c>
      <c r="I73" s="68" t="str">
        <f>IF(CupDraw!P72="","",CupDraw!P72)</f>
        <v/>
      </c>
      <c r="J73" s="72" t="str">
        <f>IF(CupDraw!Q72="","",CupDraw!Q72)</f>
        <v/>
      </c>
      <c r="K73" s="61" t="str">
        <f>IF(CupDraw!R72="","",CupDraw!R72)</f>
        <v/>
      </c>
      <c r="L73" s="78"/>
      <c r="M73" s="76"/>
      <c r="N73" s="76"/>
      <c r="O73" s="76"/>
      <c r="P73" s="76"/>
      <c r="Q73" s="76"/>
      <c r="R73" s="79"/>
      <c r="S73" s="76"/>
      <c r="X73" s="80"/>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row>
    <row r="74" spans="2:58">
      <c r="B74" s="83"/>
      <c r="C74" s="71" t="str">
        <f>IF(CupDraw!J73="","",CupDraw!J73)</f>
        <v/>
      </c>
      <c r="D74" s="72" t="str">
        <f>IF(CupDraw!K73="","",CupDraw!K73)</f>
        <v/>
      </c>
      <c r="E74" s="124" t="str">
        <f>IF(CupDraw!L73="","",CupDraw!L73)</f>
        <v/>
      </c>
      <c r="F74" s="58"/>
      <c r="G74" s="58"/>
      <c r="H74" s="685" t="str">
        <f>IF(CupDraw!O73="","",CupDraw!O73)</f>
        <v/>
      </c>
      <c r="I74" s="68" t="str">
        <f>IF(CupDraw!P73="","",CupDraw!P73)</f>
        <v/>
      </c>
      <c r="J74" s="72" t="str">
        <f>IF(CupDraw!Q73="","",CupDraw!Q73)</f>
        <v/>
      </c>
      <c r="K74" s="81" t="str">
        <f>IF(CupDraw!R73="","",CupDraw!R73)</f>
        <v/>
      </c>
      <c r="L74" s="78"/>
      <c r="M74" s="76"/>
      <c r="N74" s="76"/>
      <c r="O74" s="76"/>
      <c r="P74" s="76"/>
      <c r="Q74" s="76"/>
      <c r="R74" s="79"/>
      <c r="S74" s="76"/>
      <c r="X74" s="80"/>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row>
    <row r="75" spans="2:58">
      <c r="B75" s="14"/>
      <c r="C75" s="58"/>
      <c r="D75" s="58"/>
      <c r="E75" s="58"/>
      <c r="F75" s="58"/>
      <c r="G75" s="58"/>
      <c r="H75" s="686">
        <f>CupDraw!O74</f>
        <v>0</v>
      </c>
      <c r="I75" s="68" t="str">
        <f>IF(CupDraw!P74="","",CupDraw!P74)</f>
        <v/>
      </c>
      <c r="J75" s="72" t="str">
        <f>IF(CupDraw!Q74="","",CupDraw!Q74)</f>
        <v/>
      </c>
      <c r="K75" s="61" t="str">
        <f>IF(CupDraw!R74="","",CupDraw!R74)</f>
        <v/>
      </c>
      <c r="L75" s="78"/>
      <c r="M75" s="76"/>
      <c r="N75" s="76"/>
      <c r="O75" s="76"/>
      <c r="P75" s="76"/>
      <c r="Q75" s="76"/>
      <c r="R75" s="79"/>
      <c r="S75" s="76"/>
      <c r="T75" s="76"/>
      <c r="U75" s="76"/>
      <c r="V75" s="76"/>
      <c r="W75" s="76"/>
      <c r="X75" s="80"/>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row>
    <row r="76" spans="2:58">
      <c r="B76" s="59"/>
      <c r="C76" s="58"/>
      <c r="D76" s="58"/>
      <c r="E76" s="58"/>
      <c r="F76" s="58"/>
      <c r="G76" s="58"/>
      <c r="H76" s="685" t="str">
        <f>IF(CupDraw!O75="","",CupDraw!O75)</f>
        <v/>
      </c>
      <c r="I76" s="68" t="str">
        <f>IF(CupDraw!P75="","",CupDraw!P75)</f>
        <v/>
      </c>
      <c r="J76" s="72" t="str">
        <f>IF(CupDraw!Q75="","",CupDraw!Q75)</f>
        <v/>
      </c>
      <c r="K76" s="81" t="str">
        <f>IF(CupDraw!R75="","",CupDraw!R75)</f>
        <v/>
      </c>
      <c r="L76" s="78"/>
      <c r="M76" s="76"/>
      <c r="N76" s="76"/>
      <c r="O76" s="76"/>
      <c r="P76" s="76"/>
      <c r="Q76" s="76"/>
      <c r="R76" s="79"/>
      <c r="S76" s="76"/>
      <c r="T76" s="76"/>
      <c r="U76" s="76"/>
      <c r="V76" s="76"/>
      <c r="W76" s="76"/>
      <c r="X76" s="80"/>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row>
    <row r="77" spans="2:58">
      <c r="B77" s="59" t="s">
        <v>142</v>
      </c>
      <c r="C77" s="76"/>
      <c r="D77" s="76"/>
      <c r="E77" s="76"/>
      <c r="F77" s="58"/>
      <c r="G77" s="58"/>
      <c r="H77" s="686">
        <f>CupDraw!O76</f>
        <v>0</v>
      </c>
      <c r="I77" s="68" t="str">
        <f>IF(CupDraw!P76="","",CupDraw!P76)</f>
        <v/>
      </c>
      <c r="J77" s="72" t="str">
        <f>IF(CupDraw!Q76="","",CupDraw!Q76)</f>
        <v/>
      </c>
      <c r="K77" s="61" t="str">
        <f>IF(CupDraw!R76="","",CupDraw!R76)</f>
        <v/>
      </c>
      <c r="L77" s="78"/>
      <c r="M77" s="76"/>
      <c r="N77" s="76"/>
      <c r="O77" s="76"/>
      <c r="P77" s="76"/>
      <c r="Q77" s="76"/>
      <c r="R77" s="79"/>
      <c r="S77" s="76"/>
      <c r="T77" s="76"/>
      <c r="U77" s="76"/>
      <c r="V77" s="76"/>
      <c r="W77" s="76"/>
      <c r="X77" s="80"/>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row>
    <row r="78" spans="2:58">
      <c r="B78" s="60"/>
      <c r="C78" s="68" t="str">
        <f>IF(CupDraw!J79="","",CupDraw!J79)</f>
        <v/>
      </c>
      <c r="D78" s="72" t="str">
        <f>IF(CupDraw!K79="","",CupDraw!K79)</f>
        <v/>
      </c>
      <c r="E78" s="687" t="str">
        <f>IF(CupDraw!L79="","",CupDraw!L79)</f>
        <v/>
      </c>
      <c r="F78" s="58"/>
      <c r="G78" s="58"/>
      <c r="H78" s="685" t="str">
        <f>IF(CupDraw!O77="","",CupDraw!O77)</f>
        <v/>
      </c>
      <c r="I78" s="68" t="str">
        <f>IF(CupDraw!P77="","",CupDraw!P77)</f>
        <v/>
      </c>
      <c r="J78" s="72" t="str">
        <f>IF(CupDraw!Q77="","",CupDraw!Q77)</f>
        <v/>
      </c>
      <c r="K78" s="81" t="str">
        <f>IF(CupDraw!R77="","",CupDraw!R77)</f>
        <v/>
      </c>
      <c r="L78" s="79"/>
      <c r="M78" s="76"/>
      <c r="N78" s="76"/>
      <c r="O78" s="76"/>
      <c r="P78" s="76"/>
      <c r="Q78" s="76"/>
      <c r="R78" s="79"/>
      <c r="S78" s="76"/>
      <c r="T78" s="76"/>
      <c r="U78" s="76"/>
      <c r="V78" s="76"/>
      <c r="W78" s="76"/>
      <c r="X78" s="80"/>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row>
    <row r="79" spans="2:58">
      <c r="B79" s="67"/>
      <c r="C79" s="68" t="str">
        <f>IF(CupDraw!J80="","",CupDraw!J80)</f>
        <v/>
      </c>
      <c r="D79" s="72" t="str">
        <f>IF(CupDraw!K80="","",CupDraw!K80)</f>
        <v/>
      </c>
      <c r="E79" s="688"/>
      <c r="F79" s="58"/>
      <c r="G79" s="58"/>
      <c r="H79" s="686">
        <f>CupDraw!O78</f>
        <v>0</v>
      </c>
      <c r="I79" s="68" t="str">
        <f>IF(CupDraw!P78="","",CupDraw!P78)</f>
        <v/>
      </c>
      <c r="J79" s="72" t="str">
        <f>IF(CupDraw!Q78="","",CupDraw!Q78)</f>
        <v/>
      </c>
      <c r="K79" s="61" t="str">
        <f>IF(CupDraw!R78="","",CupDraw!R78)</f>
        <v/>
      </c>
      <c r="L79" s="79"/>
      <c r="M79" s="76"/>
      <c r="N79" s="76"/>
      <c r="O79" s="76"/>
      <c r="P79" s="76"/>
      <c r="Q79" s="76"/>
      <c r="R79" s="79"/>
      <c r="S79" s="76"/>
      <c r="T79" s="76"/>
      <c r="U79" s="76"/>
      <c r="V79" s="76"/>
      <c r="W79" s="76"/>
      <c r="X79" s="80"/>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row>
    <row r="80" spans="2:58">
      <c r="B80" s="121"/>
      <c r="C80" s="68" t="str">
        <f>IF(CupDraw!J81="","",CupDraw!J81)</f>
        <v/>
      </c>
      <c r="D80" s="72" t="str">
        <f>IF(CupDraw!K81="","",CupDraw!K81)</f>
        <v/>
      </c>
      <c r="E80" s="687" t="str">
        <f>IF(CupDraw!L81="","",CupDraw!L81)</f>
        <v/>
      </c>
      <c r="F80" s="58"/>
      <c r="G80" s="58"/>
      <c r="H80" s="685" t="str">
        <f>IF(CupDraw!O79="","",CupDraw!O79)</f>
        <v/>
      </c>
      <c r="I80" s="68" t="str">
        <f>IF(CupDraw!P79="","",CupDraw!P79)</f>
        <v/>
      </c>
      <c r="J80" s="72" t="str">
        <f>IF(CupDraw!Q79="","",CupDraw!Q79)</f>
        <v/>
      </c>
      <c r="K80" s="81" t="str">
        <f>IF(CupDraw!R79="","",CupDraw!R79)</f>
        <v/>
      </c>
      <c r="L80" s="79"/>
      <c r="M80" s="76"/>
      <c r="N80" s="76"/>
      <c r="O80" s="76"/>
      <c r="P80" s="76"/>
      <c r="Q80" s="76"/>
      <c r="R80" s="79"/>
      <c r="S80" s="76"/>
      <c r="T80" s="76"/>
      <c r="U80" s="76"/>
      <c r="V80" s="76"/>
      <c r="W80" s="76"/>
      <c r="X80" s="80"/>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row>
    <row r="81" spans="2:58">
      <c r="B81" s="122"/>
      <c r="C81" s="68" t="str">
        <f>IF(CupDraw!J82="","",CupDraw!J82)</f>
        <v/>
      </c>
      <c r="D81" s="72" t="str">
        <f>IF(CupDraw!K82="","",CupDraw!K82)</f>
        <v/>
      </c>
      <c r="E81" s="688"/>
      <c r="F81" s="58"/>
      <c r="G81" s="58"/>
      <c r="H81" s="686">
        <f>CupDraw!O80</f>
        <v>0</v>
      </c>
      <c r="I81" s="68" t="str">
        <f>IF(CupDraw!P80="","",CupDraw!P80)</f>
        <v/>
      </c>
      <c r="J81" s="72" t="str">
        <f>IF(CupDraw!Q80="","",CupDraw!Q80)</f>
        <v/>
      </c>
      <c r="K81" s="61" t="str">
        <f>IF(CupDraw!R80="","",CupDraw!R80)</f>
        <v/>
      </c>
      <c r="L81" s="79"/>
      <c r="M81" s="76"/>
      <c r="N81" s="76"/>
      <c r="O81" s="76"/>
      <c r="P81" s="76"/>
      <c r="Q81" s="76"/>
      <c r="R81" s="79"/>
      <c r="S81" s="76"/>
      <c r="X81" s="80"/>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row>
    <row r="82" spans="2:58">
      <c r="B82" s="82"/>
      <c r="C82" s="68" t="str">
        <f>IF(CupDraw!J83="","",CupDraw!J83)</f>
        <v/>
      </c>
      <c r="D82" s="72" t="str">
        <f>IF(CupDraw!K83="","",CupDraw!K83)</f>
        <v/>
      </c>
      <c r="E82" s="687" t="str">
        <f>IF(CupDraw!L83="","",CupDraw!L83)</f>
        <v/>
      </c>
      <c r="F82" s="58"/>
      <c r="G82" s="58"/>
      <c r="H82" s="685" t="str">
        <f>IF(CupDraw!O81="","",CupDraw!O81)</f>
        <v/>
      </c>
      <c r="I82" s="68" t="str">
        <f>IF(CupDraw!P81="","",CupDraw!P81)</f>
        <v/>
      </c>
      <c r="J82" s="72" t="str">
        <f>IF(CupDraw!Q81="","",CupDraw!Q81)</f>
        <v/>
      </c>
      <c r="K82" s="81" t="str">
        <f>IF(CupDraw!R81="","",CupDraw!R81)</f>
        <v/>
      </c>
      <c r="L82" s="79"/>
      <c r="M82" s="76"/>
      <c r="N82" s="76"/>
      <c r="O82" s="76"/>
      <c r="P82" s="76"/>
      <c r="Q82" s="76"/>
      <c r="R82" s="79"/>
      <c r="S82" s="76"/>
      <c r="X82" s="78"/>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row>
    <row r="83" spans="2:58">
      <c r="B83" s="83"/>
      <c r="C83" s="68" t="str">
        <f>IF(CupDraw!J84="","",CupDraw!J84)</f>
        <v/>
      </c>
      <c r="D83" s="72" t="str">
        <f>IF(CupDraw!K84="","",CupDraw!K84)</f>
        <v/>
      </c>
      <c r="E83" s="688" t="str">
        <f>IF(CupDraw!L84="","",CupDraw!L84)</f>
        <v/>
      </c>
      <c r="F83" s="76"/>
      <c r="G83" s="76"/>
      <c r="H83" s="686">
        <f>CupDraw!O82</f>
        <v>0</v>
      </c>
      <c r="I83" s="68" t="str">
        <f>IF(CupDraw!P82="","",CupDraw!P82)</f>
        <v/>
      </c>
      <c r="J83" s="72" t="str">
        <f>IF(CupDraw!Q82="","",CupDraw!Q82)</f>
        <v/>
      </c>
      <c r="K83" s="61" t="str">
        <f>IF(CupDraw!R82="","",CupDraw!R82)</f>
        <v/>
      </c>
      <c r="L83" s="80"/>
      <c r="M83" s="76"/>
      <c r="N83" s="76"/>
      <c r="O83" s="76"/>
      <c r="P83" s="76"/>
      <c r="Q83" s="76"/>
      <c r="R83" s="80"/>
      <c r="S83" s="76"/>
      <c r="X83" s="78"/>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row>
    <row r="84" spans="2:58">
      <c r="B84" s="121"/>
      <c r="C84" s="68" t="str">
        <f>IF(CupDraw!J85="","",CupDraw!J85)</f>
        <v/>
      </c>
      <c r="D84" s="72" t="str">
        <f>IF(CupDraw!K85="","",CupDraw!K85)</f>
        <v/>
      </c>
      <c r="E84" s="687" t="str">
        <f>IF(CupDraw!L85="","",CupDraw!L85)</f>
        <v/>
      </c>
      <c r="F84" s="76"/>
      <c r="G84" s="76"/>
      <c r="H84" s="685" t="str">
        <f>IF(CupDraw!O83="","",CupDraw!O83)</f>
        <v/>
      </c>
      <c r="I84" s="68" t="str">
        <f>IF(CupDraw!P83="","",CupDraw!P83)</f>
        <v/>
      </c>
      <c r="J84" s="72" t="str">
        <f>IF(CupDraw!Q83="","",CupDraw!Q83)</f>
        <v/>
      </c>
      <c r="K84" s="81" t="str">
        <f>IF(CupDraw!R83="","",CupDraw!R83)</f>
        <v/>
      </c>
      <c r="L84" s="80"/>
      <c r="M84" s="76"/>
      <c r="N84" s="76"/>
      <c r="O84" s="76"/>
      <c r="P84" s="76"/>
      <c r="Q84" s="76"/>
      <c r="R84" s="80"/>
      <c r="S84" s="76"/>
      <c r="X84" s="1"/>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row>
    <row r="85" spans="2:58">
      <c r="B85" s="122"/>
      <c r="C85" s="68" t="str">
        <f>IF(CupDraw!J86="","",CupDraw!J86)</f>
        <v/>
      </c>
      <c r="D85" s="72" t="str">
        <f>IF(CupDraw!K86="","",CupDraw!K86)</f>
        <v/>
      </c>
      <c r="E85" s="688" t="str">
        <f>IF(CupDraw!L86="","",CupDraw!L86)</f>
        <v/>
      </c>
      <c r="F85" s="76"/>
      <c r="G85" s="76"/>
      <c r="H85" s="686">
        <f>CupDraw!O84</f>
        <v>0</v>
      </c>
      <c r="I85" s="68" t="str">
        <f>IF(CupDraw!P84="","",CupDraw!P84)</f>
        <v/>
      </c>
      <c r="J85" s="72" t="str">
        <f>IF(CupDraw!Q84="","",CupDraw!Q84)</f>
        <v/>
      </c>
      <c r="K85" s="61" t="str">
        <f>IF(CupDraw!R84="","",CupDraw!R84)</f>
        <v/>
      </c>
      <c r="L85" s="80"/>
      <c r="M85" s="76"/>
      <c r="N85" s="76"/>
      <c r="O85" s="76"/>
      <c r="P85" s="76"/>
      <c r="Q85" s="76"/>
      <c r="R85" s="80"/>
      <c r="S85" s="76"/>
      <c r="X85" s="79"/>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row>
    <row r="86" spans="2:58">
      <c r="B86" s="82"/>
      <c r="C86" s="68" t="str">
        <f>IF(CupDraw!J87="","",CupDraw!J87)</f>
        <v/>
      </c>
      <c r="D86" s="72" t="str">
        <f>IF(CupDraw!K87="","",CupDraw!K87)</f>
        <v/>
      </c>
      <c r="E86" s="687" t="str">
        <f>IF(CupDraw!L87="","",CupDraw!L87)</f>
        <v/>
      </c>
      <c r="F86" s="76"/>
      <c r="G86" s="76"/>
      <c r="H86" s="685" t="str">
        <f>IF(CupDraw!O85="","",CupDraw!O85)</f>
        <v/>
      </c>
      <c r="I86" s="68" t="str">
        <f>IF(CupDraw!P85="","",CupDraw!P85)</f>
        <v/>
      </c>
      <c r="J86" s="72" t="str">
        <f>IF(CupDraw!Q85="","",CupDraw!Q85)</f>
        <v/>
      </c>
      <c r="K86" s="81" t="str">
        <f>IF(CupDraw!R85="","",CupDraw!R85)</f>
        <v/>
      </c>
      <c r="L86" s="80"/>
      <c r="M86" s="76"/>
      <c r="N86" s="76"/>
      <c r="O86" s="76"/>
      <c r="P86" s="76"/>
      <c r="Q86" s="76"/>
      <c r="R86" s="80"/>
      <c r="S86" s="76"/>
      <c r="X86" s="79"/>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row>
    <row r="87" spans="2:58">
      <c r="B87" s="83"/>
      <c r="C87" s="68" t="str">
        <f>IF(CupDraw!J88="","",CupDraw!J88)</f>
        <v/>
      </c>
      <c r="D87" s="72" t="str">
        <f>IF(CupDraw!K88="","",CupDraw!K88)</f>
        <v/>
      </c>
      <c r="E87" s="688" t="str">
        <f>IF(CupDraw!L88="","",CupDraw!L88)</f>
        <v/>
      </c>
      <c r="F87" s="76"/>
      <c r="G87" s="76"/>
      <c r="H87" s="686">
        <f>CupDraw!O86</f>
        <v>0</v>
      </c>
      <c r="I87" s="68" t="str">
        <f>IF(CupDraw!P86="","",CupDraw!P86)</f>
        <v/>
      </c>
      <c r="J87" s="72" t="str">
        <f>IF(CupDraw!Q86="","",CupDraw!Q86)</f>
        <v/>
      </c>
      <c r="K87" s="61" t="str">
        <f>IF(CupDraw!R86="","",CupDraw!R86)</f>
        <v/>
      </c>
      <c r="L87" s="80"/>
      <c r="M87" s="76"/>
      <c r="N87" s="76"/>
      <c r="O87" s="76"/>
      <c r="P87" s="76"/>
      <c r="Q87" s="76"/>
      <c r="R87" s="80"/>
      <c r="S87" s="76"/>
      <c r="X87" s="79"/>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row>
    <row r="88" spans="2:58">
      <c r="B88" s="685"/>
      <c r="C88" s="68" t="str">
        <f>IF(CupDraw!J89="","",CupDraw!J89)</f>
        <v/>
      </c>
      <c r="D88" s="72" t="str">
        <f>IF(CupDraw!K89="","",CupDraw!K89)</f>
        <v/>
      </c>
      <c r="E88" s="687" t="str">
        <f>IF(CupDraw!L89="","",CupDraw!L89)</f>
        <v/>
      </c>
      <c r="F88" s="76"/>
      <c r="G88" s="76"/>
      <c r="H88" s="685" t="str">
        <f>IF(CupDraw!O87="","",CupDraw!O87)</f>
        <v/>
      </c>
      <c r="I88" s="68" t="str">
        <f>IF(CupDraw!P87="","",CupDraw!P87)</f>
        <v/>
      </c>
      <c r="J88" s="72" t="str">
        <f>IF(CupDraw!Q87="","",CupDraw!Q87)</f>
        <v/>
      </c>
      <c r="K88" s="81" t="str">
        <f>IF(CupDraw!R87="","",CupDraw!R87)</f>
        <v/>
      </c>
      <c r="L88" s="80"/>
      <c r="M88" s="76"/>
      <c r="N88" s="76"/>
      <c r="O88" s="76"/>
      <c r="P88" s="76"/>
      <c r="Q88" s="76"/>
      <c r="R88" s="80"/>
      <c r="S88" s="76"/>
      <c r="X88" s="79"/>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row>
    <row r="89" spans="2:58">
      <c r="B89" s="686"/>
      <c r="C89" s="68" t="str">
        <f>IF(CupDraw!J90="","",CupDraw!J90)</f>
        <v/>
      </c>
      <c r="D89" s="72" t="str">
        <f>IF(CupDraw!K90="","",CupDraw!K90)</f>
        <v/>
      </c>
      <c r="E89" s="688" t="str">
        <f>IF(CupDraw!L90="","",CupDraw!L90)</f>
        <v/>
      </c>
      <c r="F89" s="76"/>
      <c r="G89" s="76"/>
      <c r="H89" s="686">
        <f>CupDraw!O88</f>
        <v>0</v>
      </c>
      <c r="I89" s="68" t="str">
        <f>IF(CupDraw!P88="","",CupDraw!P88)</f>
        <v/>
      </c>
      <c r="J89" s="72" t="str">
        <f>IF(CupDraw!Q88="","",CupDraw!Q88)</f>
        <v/>
      </c>
      <c r="K89" s="61" t="str">
        <f>IF(CupDraw!R88="","",CupDraw!R88)</f>
        <v/>
      </c>
      <c r="L89" s="80"/>
      <c r="M89" s="76"/>
      <c r="N89" s="76"/>
      <c r="O89" s="76"/>
      <c r="P89" s="76"/>
      <c r="Q89" s="76"/>
      <c r="R89" s="80"/>
      <c r="S89" s="76"/>
      <c r="X89" s="79"/>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row>
    <row r="90" spans="2:58">
      <c r="B90" s="82"/>
      <c r="C90" s="68" t="str">
        <f>IF(CupDraw!J91="","",CupDraw!J91)</f>
        <v/>
      </c>
      <c r="D90" s="72" t="str">
        <f>IF(CupDraw!K91="","",CupDraw!K91)</f>
        <v/>
      </c>
      <c r="E90" s="687" t="str">
        <f>IF(CupDraw!L91="","",CupDraw!L91)</f>
        <v/>
      </c>
      <c r="F90" s="76"/>
      <c r="G90" s="76"/>
      <c r="H90" s="685" t="str">
        <f>IF(CupDraw!O89="","",CupDraw!O89)</f>
        <v/>
      </c>
      <c r="I90" s="68" t="str">
        <f>IF(CupDraw!P89="","",CupDraw!P89)</f>
        <v/>
      </c>
      <c r="J90" s="72" t="str">
        <f>IF(CupDraw!Q89="","",CupDraw!Q89)</f>
        <v/>
      </c>
      <c r="K90" s="81" t="str">
        <f>IF(CupDraw!R89="","",CupDraw!R89)</f>
        <v/>
      </c>
      <c r="L90" s="80"/>
      <c r="M90" s="76"/>
      <c r="N90" s="76"/>
      <c r="O90" s="76"/>
      <c r="P90" s="76"/>
      <c r="Q90" s="76"/>
      <c r="R90" s="80"/>
      <c r="S90" s="76"/>
      <c r="X90" s="79"/>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row>
    <row r="91" spans="2:58">
      <c r="B91" s="83"/>
      <c r="C91" s="68" t="str">
        <f>IF(CupDraw!J92="","",CupDraw!J92)</f>
        <v/>
      </c>
      <c r="D91" s="72" t="str">
        <f>IF(CupDraw!K92="","",CupDraw!K92)</f>
        <v/>
      </c>
      <c r="E91" s="688" t="str">
        <f>IF(CupDraw!L92="","",CupDraw!L92)</f>
        <v/>
      </c>
      <c r="F91" s="76"/>
      <c r="G91" s="76"/>
      <c r="H91" s="686">
        <f>CupDraw!O90</f>
        <v>0</v>
      </c>
      <c r="I91" s="68" t="str">
        <f>IF(CupDraw!P90="","",CupDraw!P90)</f>
        <v/>
      </c>
      <c r="J91" s="72" t="str">
        <f>IF(CupDraw!Q90="","",CupDraw!Q90)</f>
        <v/>
      </c>
      <c r="K91" s="61" t="str">
        <f>IF(CupDraw!R90="","",CupDraw!R90)</f>
        <v/>
      </c>
      <c r="L91" s="80"/>
      <c r="M91" s="76"/>
      <c r="N91" s="76"/>
      <c r="O91" s="76"/>
      <c r="P91" s="76"/>
      <c r="Q91" s="76"/>
      <c r="R91" s="80"/>
      <c r="S91" s="76"/>
      <c r="T91" s="76"/>
      <c r="U91" s="76"/>
      <c r="V91" s="76"/>
      <c r="W91" s="76"/>
      <c r="X91" s="80"/>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row>
    <row r="92" spans="2:58">
      <c r="B92" s="685"/>
      <c r="C92" s="68" t="str">
        <f>IF(CupDraw!J93="","",CupDraw!J93)</f>
        <v/>
      </c>
      <c r="D92" s="72" t="str">
        <f>IF(CupDraw!K93="","",CupDraw!K93)</f>
        <v/>
      </c>
      <c r="E92" s="687" t="str">
        <f>IF(CupDraw!L93="","",CupDraw!L93)</f>
        <v/>
      </c>
      <c r="F92" s="76"/>
      <c r="G92" s="76"/>
      <c r="H92" s="685" t="str">
        <f>IF(CupDraw!O91="","",CupDraw!O91)</f>
        <v/>
      </c>
      <c r="I92" s="68" t="str">
        <f>IF(CupDraw!P91="","",CupDraw!P91)</f>
        <v/>
      </c>
      <c r="J92" s="72" t="str">
        <f>IF(CupDraw!Q91="","",CupDraw!Q91)</f>
        <v/>
      </c>
      <c r="K92" s="81" t="str">
        <f>IF(CupDraw!R91="","",CupDraw!R91)</f>
        <v/>
      </c>
      <c r="L92" s="80"/>
      <c r="M92" s="76"/>
      <c r="N92" s="76"/>
      <c r="O92" s="76"/>
      <c r="P92" s="76"/>
      <c r="Q92" s="76"/>
      <c r="R92" s="80"/>
      <c r="S92" s="76"/>
      <c r="T92" s="76"/>
      <c r="U92" s="76"/>
      <c r="V92" s="76"/>
      <c r="W92" s="76"/>
      <c r="X92" s="80"/>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row>
    <row r="93" spans="2:58">
      <c r="B93" s="686"/>
      <c r="C93" s="68" t="str">
        <f>IF(CupDraw!J94="","",CupDraw!J94)</f>
        <v/>
      </c>
      <c r="D93" s="72" t="str">
        <f>IF(CupDraw!K94="","",CupDraw!K94)</f>
        <v/>
      </c>
      <c r="E93" s="688" t="str">
        <f>IF(CupDraw!L94="","",CupDraw!L94)</f>
        <v/>
      </c>
      <c r="F93" s="76"/>
      <c r="G93" s="76"/>
      <c r="H93" s="686">
        <f>CupDraw!O92</f>
        <v>0</v>
      </c>
      <c r="I93" s="68" t="str">
        <f>IF(CupDraw!P92="","",CupDraw!P92)</f>
        <v/>
      </c>
      <c r="J93" s="72" t="str">
        <f>IF(CupDraw!Q92="","",CupDraw!Q92)</f>
        <v/>
      </c>
      <c r="K93" s="61" t="str">
        <f>IF(CupDraw!R92="","",CupDraw!R92)</f>
        <v/>
      </c>
      <c r="L93" s="80"/>
      <c r="M93" s="76"/>
      <c r="N93" s="76"/>
      <c r="O93" s="76"/>
      <c r="P93" s="76"/>
      <c r="Q93" s="76"/>
      <c r="R93" s="80"/>
      <c r="S93" s="76"/>
      <c r="T93" s="76"/>
      <c r="U93" s="76"/>
      <c r="V93" s="76"/>
      <c r="W93" s="76"/>
      <c r="X93" s="80"/>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row>
    <row r="94" spans="2:58">
      <c r="B94" s="123"/>
      <c r="C94" s="215" t="str">
        <f>IF(CupDraw!J95="","",CupDraw!J95)</f>
        <v/>
      </c>
      <c r="D94" s="58"/>
      <c r="E94" s="58"/>
      <c r="F94" s="76"/>
      <c r="G94" s="76"/>
      <c r="H94" s="77"/>
      <c r="I94" s="76"/>
      <c r="J94" s="76"/>
      <c r="K94" s="76"/>
      <c r="L94" s="80"/>
      <c r="M94" s="76"/>
      <c r="N94" s="76"/>
      <c r="O94" s="76"/>
      <c r="P94" s="76"/>
      <c r="Q94" s="76"/>
      <c r="R94" s="80"/>
      <c r="S94" s="76"/>
      <c r="T94" s="76"/>
      <c r="U94" s="76"/>
      <c r="V94" s="76"/>
      <c r="W94" s="76"/>
      <c r="X94" s="80"/>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row>
    <row r="95" spans="2:58">
      <c r="B95" s="59"/>
      <c r="C95" s="58"/>
      <c r="D95" s="58"/>
      <c r="E95" s="58"/>
      <c r="F95" s="76"/>
      <c r="G95" s="76"/>
      <c r="H95" s="77"/>
      <c r="I95" s="76"/>
      <c r="J95" s="76"/>
      <c r="K95" s="76"/>
      <c r="L95" s="80"/>
      <c r="M95" s="76"/>
      <c r="N95" s="76"/>
      <c r="O95" s="76"/>
      <c r="P95" s="76"/>
      <c r="Q95" s="76"/>
      <c r="R95" s="80"/>
      <c r="S95" s="76"/>
      <c r="T95" s="76"/>
      <c r="U95" s="76"/>
      <c r="V95" s="76"/>
      <c r="W95" s="76"/>
      <c r="X95" s="80"/>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row>
    <row r="96" spans="2:58">
      <c r="B96" s="59"/>
      <c r="C96" s="58"/>
      <c r="D96" s="58"/>
      <c r="E96" s="58"/>
      <c r="F96" s="76"/>
      <c r="G96" s="76"/>
      <c r="H96" s="77"/>
      <c r="I96" s="76"/>
      <c r="J96" s="76"/>
      <c r="K96" s="76"/>
      <c r="L96" s="80"/>
      <c r="M96" s="76"/>
      <c r="N96" s="76"/>
      <c r="O96" s="76"/>
      <c r="P96" s="76"/>
      <c r="Q96" s="76"/>
      <c r="R96" s="80"/>
      <c r="S96" s="76"/>
      <c r="T96" s="76"/>
      <c r="U96" s="76"/>
      <c r="V96" s="76"/>
      <c r="W96" s="76"/>
      <c r="X96" s="80"/>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row>
    <row r="97" spans="2:58">
      <c r="B97" s="59"/>
      <c r="C97" s="58"/>
      <c r="D97" s="58"/>
      <c r="E97" s="58"/>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row>
    <row r="98" spans="2:58">
      <c r="B98" s="59"/>
      <c r="C98" s="58"/>
      <c r="D98" s="58"/>
      <c r="E98" s="58"/>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row>
    <row r="99" spans="2:58">
      <c r="B99" s="59"/>
      <c r="C99" s="58"/>
      <c r="D99" s="58"/>
      <c r="E99" s="58"/>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row>
    <row r="100" spans="2:58">
      <c r="B100" s="59"/>
      <c r="C100" s="58"/>
      <c r="D100" s="58"/>
      <c r="E100" s="58"/>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row>
    <row r="101" spans="2:58">
      <c r="B101" s="59"/>
      <c r="C101" s="58"/>
      <c r="D101" s="58"/>
      <c r="E101" s="58"/>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row>
    <row r="102" spans="2:58">
      <c r="B102" s="59"/>
      <c r="C102" s="58"/>
      <c r="D102" s="58"/>
      <c r="E102" s="58"/>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row>
    <row r="103" spans="2:58">
      <c r="B103" s="59"/>
      <c r="C103" s="58"/>
      <c r="D103" s="58"/>
      <c r="E103" s="58"/>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row>
    <row r="104" spans="2:58">
      <c r="B104" s="59"/>
      <c r="C104" s="58"/>
      <c r="D104" s="58"/>
      <c r="E104" s="58"/>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row>
    <row r="105" spans="2:58">
      <c r="B105" s="59"/>
      <c r="C105" s="58"/>
      <c r="D105" s="58"/>
      <c r="E105" s="58"/>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row>
    <row r="106" spans="2:58">
      <c r="B106" s="59"/>
      <c r="C106" s="58"/>
      <c r="D106" s="58"/>
      <c r="E106" s="58"/>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c r="BF106" s="76"/>
    </row>
    <row r="107" spans="2:58">
      <c r="B107" s="59"/>
      <c r="C107" s="58"/>
      <c r="D107" s="58"/>
      <c r="E107" s="58"/>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row>
    <row r="108" spans="2:58">
      <c r="B108" s="59"/>
      <c r="C108" s="58"/>
      <c r="D108" s="58"/>
      <c r="E108" s="58"/>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row>
    <row r="109" spans="2:58">
      <c r="B109" s="59"/>
      <c r="C109" s="58"/>
      <c r="D109" s="58"/>
      <c r="E109" s="58"/>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row>
    <row r="110" spans="2:58">
      <c r="B110" s="59"/>
      <c r="C110" s="58"/>
      <c r="D110" s="58"/>
      <c r="E110" s="58"/>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row>
    <row r="111" spans="2:58">
      <c r="B111" s="59"/>
      <c r="C111" s="58"/>
      <c r="D111" s="58"/>
      <c r="E111" s="58"/>
    </row>
    <row r="112" spans="2:58">
      <c r="B112" s="59"/>
      <c r="C112" s="58"/>
      <c r="D112" s="58"/>
      <c r="E112" s="58"/>
    </row>
    <row r="113" spans="2:5">
      <c r="B113" s="59"/>
      <c r="C113" s="58"/>
      <c r="D113" s="58"/>
      <c r="E113" s="58"/>
    </row>
    <row r="114" spans="2:5">
      <c r="B114" s="59"/>
      <c r="C114" s="58"/>
      <c r="D114" s="58"/>
      <c r="E114" s="58"/>
    </row>
    <row r="115" spans="2:5">
      <c r="B115" s="59"/>
      <c r="C115" s="58"/>
      <c r="D115" s="58"/>
      <c r="E115" s="58"/>
    </row>
    <row r="116" spans="2:5">
      <c r="B116" s="59"/>
      <c r="C116" s="58"/>
      <c r="D116" s="58"/>
      <c r="E116" s="58"/>
    </row>
    <row r="117" spans="2:5">
      <c r="B117" s="59"/>
      <c r="C117" s="58"/>
      <c r="D117" s="58"/>
      <c r="E117" s="58"/>
    </row>
    <row r="118" spans="2:5">
      <c r="B118" s="59"/>
      <c r="C118" s="58"/>
      <c r="D118" s="58"/>
      <c r="E118" s="58"/>
    </row>
    <row r="119" spans="2:5">
      <c r="B119" s="59"/>
      <c r="C119" s="58"/>
      <c r="D119" s="58"/>
      <c r="E119" s="58"/>
    </row>
    <row r="120" spans="2:5">
      <c r="B120" s="59"/>
      <c r="C120" s="58"/>
      <c r="D120" s="58"/>
      <c r="E120" s="58"/>
    </row>
    <row r="121" spans="2:5">
      <c r="B121" s="59"/>
      <c r="C121" s="58"/>
      <c r="D121" s="58"/>
      <c r="E121" s="58"/>
    </row>
    <row r="122" spans="2:5">
      <c r="B122" s="59"/>
      <c r="C122" s="58"/>
      <c r="D122" s="58"/>
      <c r="E122" s="58"/>
    </row>
    <row r="123" spans="2:5">
      <c r="B123" s="59"/>
      <c r="C123" s="58"/>
      <c r="D123" s="58"/>
      <c r="E123" s="58"/>
    </row>
    <row r="124" spans="2:5">
      <c r="B124" s="59"/>
      <c r="C124" s="58"/>
      <c r="D124" s="58"/>
      <c r="E124" s="58"/>
    </row>
    <row r="125" spans="2:5">
      <c r="B125" s="59"/>
      <c r="C125" s="58"/>
      <c r="D125" s="58"/>
      <c r="E125" s="58"/>
    </row>
    <row r="126" spans="2:5">
      <c r="B126" s="59"/>
      <c r="C126" s="58"/>
      <c r="D126" s="58"/>
      <c r="E126" s="58"/>
    </row>
    <row r="127" spans="2:5">
      <c r="B127" s="59"/>
      <c r="C127" s="58"/>
      <c r="D127" s="58"/>
      <c r="E127" s="58"/>
    </row>
    <row r="128" spans="2:5">
      <c r="B128" s="59"/>
      <c r="C128" s="58"/>
      <c r="D128" s="58"/>
      <c r="E128" s="58"/>
    </row>
    <row r="129" spans="2:5">
      <c r="B129" s="59"/>
      <c r="C129" s="58"/>
      <c r="D129" s="58"/>
      <c r="E129" s="58"/>
    </row>
    <row r="130" spans="2:5">
      <c r="B130" s="59"/>
      <c r="C130" s="58"/>
      <c r="D130" s="58"/>
      <c r="E130" s="58"/>
    </row>
    <row r="131" spans="2:5">
      <c r="B131" s="59"/>
      <c r="C131" s="58"/>
      <c r="D131" s="58"/>
      <c r="E131" s="58"/>
    </row>
    <row r="132" spans="2:5">
      <c r="B132" s="59"/>
      <c r="C132" s="76"/>
      <c r="D132" s="76"/>
      <c r="E132" s="76"/>
    </row>
    <row r="133" spans="2:5">
      <c r="B133" s="59"/>
      <c r="C133" s="76"/>
      <c r="D133" s="76"/>
      <c r="E133" s="76"/>
    </row>
    <row r="134" spans="2:5">
      <c r="B134" s="77"/>
      <c r="C134" s="76"/>
      <c r="D134" s="76"/>
      <c r="E134" s="76"/>
    </row>
    <row r="135" spans="2:5">
      <c r="B135" s="77"/>
      <c r="C135" s="76"/>
      <c r="D135" s="76"/>
      <c r="E135" s="76"/>
    </row>
    <row r="136" spans="2:5">
      <c r="B136" s="77"/>
      <c r="C136" s="76"/>
      <c r="D136" s="76"/>
      <c r="E136" s="76"/>
    </row>
    <row r="137" spans="2:5">
      <c r="B137" s="77"/>
      <c r="C137" s="76"/>
      <c r="D137" s="76"/>
      <c r="E137" s="76"/>
    </row>
    <row r="138" spans="2:5">
      <c r="B138" s="77"/>
      <c r="C138" s="76"/>
      <c r="D138" s="76"/>
      <c r="E138" s="76"/>
    </row>
    <row r="139" spans="2:5">
      <c r="B139" s="77"/>
      <c r="C139" s="76"/>
      <c r="D139" s="76"/>
      <c r="E139" s="76"/>
    </row>
    <row r="140" spans="2:5">
      <c r="B140" s="77"/>
      <c r="C140" s="76"/>
      <c r="D140" s="76"/>
      <c r="E140" s="76"/>
    </row>
    <row r="141" spans="2:5">
      <c r="B141" s="77"/>
      <c r="C141" s="76"/>
      <c r="D141" s="76"/>
      <c r="E141" s="76"/>
    </row>
    <row r="142" spans="2:5">
      <c r="B142" s="77"/>
      <c r="C142" s="76"/>
      <c r="D142" s="76"/>
      <c r="E142" s="76"/>
    </row>
    <row r="143" spans="2:5">
      <c r="B143" s="77"/>
      <c r="C143" s="76"/>
      <c r="D143" s="76"/>
      <c r="E143" s="76"/>
    </row>
    <row r="144" spans="2:5">
      <c r="B144" s="77"/>
      <c r="C144" s="76"/>
      <c r="D144" s="76"/>
      <c r="E144" s="76"/>
    </row>
    <row r="145" spans="2:5">
      <c r="B145" s="77"/>
      <c r="C145" s="76"/>
      <c r="D145" s="76"/>
      <c r="E145" s="76"/>
    </row>
    <row r="146" spans="2:5">
      <c r="B146" s="77"/>
      <c r="C146" s="76"/>
      <c r="D146" s="76"/>
      <c r="E146" s="76"/>
    </row>
    <row r="147" spans="2:5">
      <c r="B147" s="77"/>
      <c r="C147" s="76"/>
      <c r="D147" s="76"/>
      <c r="E147" s="76"/>
    </row>
    <row r="148" spans="2:5">
      <c r="B148" s="76"/>
      <c r="C148" s="76"/>
      <c r="D148" s="76"/>
      <c r="E148" s="76"/>
    </row>
    <row r="149" spans="2:5">
      <c r="B149" s="76"/>
      <c r="C149" s="76"/>
      <c r="D149" s="76"/>
      <c r="E149" s="76"/>
    </row>
    <row r="150" spans="2:5">
      <c r="B150" s="76"/>
      <c r="C150" s="76"/>
      <c r="D150" s="76"/>
      <c r="E150" s="76"/>
    </row>
    <row r="151" spans="2:5">
      <c r="B151" s="76"/>
      <c r="C151" s="76"/>
      <c r="D151" s="76"/>
      <c r="E151" s="76"/>
    </row>
    <row r="152" spans="2:5">
      <c r="B152" s="76"/>
      <c r="C152" s="76"/>
      <c r="D152" s="76"/>
      <c r="E152" s="76"/>
    </row>
    <row r="153" spans="2:5">
      <c r="B153" s="76"/>
      <c r="C153" s="76"/>
      <c r="D153" s="76"/>
      <c r="E153" s="76"/>
    </row>
    <row r="154" spans="2:5">
      <c r="B154" s="76"/>
      <c r="C154" s="76"/>
      <c r="D154" s="76"/>
      <c r="E154" s="76"/>
    </row>
    <row r="155" spans="2:5">
      <c r="B155" s="76"/>
      <c r="C155" s="76"/>
      <c r="D155" s="76"/>
      <c r="E155" s="76"/>
    </row>
    <row r="156" spans="2:5">
      <c r="B156" s="76"/>
      <c r="C156" s="76"/>
      <c r="D156" s="76"/>
      <c r="E156" s="76"/>
    </row>
    <row r="157" spans="2:5">
      <c r="B157" s="76"/>
      <c r="C157" s="76"/>
      <c r="D157" s="76"/>
      <c r="E157" s="76"/>
    </row>
    <row r="158" spans="2:5">
      <c r="B158" s="76"/>
      <c r="C158" s="76"/>
      <c r="D158" s="76"/>
      <c r="E158" s="76"/>
    </row>
    <row r="159" spans="2:5">
      <c r="B159" s="76"/>
      <c r="C159" s="76"/>
      <c r="D159" s="76"/>
      <c r="E159" s="76"/>
    </row>
    <row r="160" spans="2:5">
      <c r="B160" s="76"/>
    </row>
    <row r="161" spans="2:2">
      <c r="B161" s="76"/>
    </row>
  </sheetData>
  <mergeCells count="26">
    <mergeCell ref="AI10:AI11"/>
    <mergeCell ref="H90:H91"/>
    <mergeCell ref="AD9:AD10"/>
    <mergeCell ref="H74:H75"/>
    <mergeCell ref="H78:H79"/>
    <mergeCell ref="H82:H83"/>
    <mergeCell ref="H86:H87"/>
    <mergeCell ref="AI8:AI9"/>
    <mergeCell ref="H72:H73"/>
    <mergeCell ref="H76:H77"/>
    <mergeCell ref="H80:H81"/>
    <mergeCell ref="H84:H85"/>
    <mergeCell ref="H88:H89"/>
    <mergeCell ref="H3:H4"/>
    <mergeCell ref="B88:B89"/>
    <mergeCell ref="B92:B93"/>
    <mergeCell ref="H70:H71"/>
    <mergeCell ref="H92:H93"/>
    <mergeCell ref="E90:E91"/>
    <mergeCell ref="E92:E93"/>
    <mergeCell ref="E78:E79"/>
    <mergeCell ref="E80:E81"/>
    <mergeCell ref="E82:E83"/>
    <mergeCell ref="E84:E85"/>
    <mergeCell ref="E86:E87"/>
    <mergeCell ref="E88:E89"/>
  </mergeCells>
  <conditionalFormatting sqref="I3">
    <cfRule type="expression" dxfId="206" priority="113">
      <formula>J3&lt;J4</formula>
    </cfRule>
  </conditionalFormatting>
  <conditionalFormatting sqref="I4">
    <cfRule type="expression" dxfId="205" priority="112">
      <formula>J4&lt;J3</formula>
    </cfRule>
  </conditionalFormatting>
  <conditionalFormatting sqref="I6">
    <cfRule type="expression" dxfId="204" priority="111">
      <formula>J6&lt;J5</formula>
    </cfRule>
  </conditionalFormatting>
  <conditionalFormatting sqref="I8">
    <cfRule type="expression" dxfId="203" priority="110">
      <formula>J8&lt;J7</formula>
    </cfRule>
  </conditionalFormatting>
  <conditionalFormatting sqref="I5">
    <cfRule type="expression" dxfId="202" priority="109">
      <formula>J5&lt;J6</formula>
    </cfRule>
  </conditionalFormatting>
  <conditionalFormatting sqref="I7">
    <cfRule type="expression" dxfId="201" priority="108">
      <formula>J7&lt;J8</formula>
    </cfRule>
  </conditionalFormatting>
  <conditionalFormatting sqref="I9">
    <cfRule type="expression" dxfId="200" priority="107">
      <formula>J9&lt;J10</formula>
    </cfRule>
  </conditionalFormatting>
  <conditionalFormatting sqref="I11">
    <cfRule type="expression" dxfId="199" priority="106">
      <formula>J11&lt;J12</formula>
    </cfRule>
  </conditionalFormatting>
  <conditionalFormatting sqref="I13">
    <cfRule type="expression" dxfId="198" priority="105">
      <formula>J13&lt;J14</formula>
    </cfRule>
  </conditionalFormatting>
  <conditionalFormatting sqref="I15">
    <cfRule type="expression" dxfId="197" priority="104">
      <formula>J15&lt;J16</formula>
    </cfRule>
  </conditionalFormatting>
  <conditionalFormatting sqref="I17">
    <cfRule type="expression" dxfId="196" priority="103">
      <formula>J17&lt;J18</formula>
    </cfRule>
  </conditionalFormatting>
  <conditionalFormatting sqref="I19">
    <cfRule type="expression" dxfId="195" priority="102">
      <formula>J19&lt;J20</formula>
    </cfRule>
  </conditionalFormatting>
  <conditionalFormatting sqref="I21">
    <cfRule type="expression" dxfId="194" priority="101">
      <formula>J21&lt;J22</formula>
    </cfRule>
  </conditionalFormatting>
  <conditionalFormatting sqref="I23">
    <cfRule type="expression" dxfId="193" priority="100">
      <formula>J23&lt;J24</formula>
    </cfRule>
  </conditionalFormatting>
  <conditionalFormatting sqref="I25">
    <cfRule type="expression" dxfId="192" priority="99">
      <formula>J25&lt;J26</formula>
    </cfRule>
  </conditionalFormatting>
  <conditionalFormatting sqref="I27">
    <cfRule type="expression" dxfId="191" priority="98">
      <formula>J27&lt;J28</formula>
    </cfRule>
  </conditionalFormatting>
  <conditionalFormatting sqref="I29">
    <cfRule type="expression" dxfId="190" priority="97">
      <formula>J29&lt;J30</formula>
    </cfRule>
  </conditionalFormatting>
  <conditionalFormatting sqref="I31">
    <cfRule type="expression" dxfId="189" priority="96">
      <formula>J31&lt;J32</formula>
    </cfRule>
  </conditionalFormatting>
  <conditionalFormatting sqref="I33">
    <cfRule type="expression" dxfId="188" priority="95">
      <formula>J33&lt;J34</formula>
    </cfRule>
  </conditionalFormatting>
  <conditionalFormatting sqref="I35">
    <cfRule type="expression" dxfId="187" priority="94">
      <formula>J35&lt;J36</formula>
    </cfRule>
  </conditionalFormatting>
  <conditionalFormatting sqref="I37">
    <cfRule type="expression" dxfId="186" priority="93">
      <formula>J37&lt;J38</formula>
    </cfRule>
  </conditionalFormatting>
  <conditionalFormatting sqref="I39">
    <cfRule type="expression" dxfId="185" priority="92">
      <formula>J39&lt;J40</formula>
    </cfRule>
  </conditionalFormatting>
  <conditionalFormatting sqref="I41">
    <cfRule type="expression" dxfId="184" priority="91">
      <formula>J41&lt;J42</formula>
    </cfRule>
  </conditionalFormatting>
  <conditionalFormatting sqref="I43">
    <cfRule type="expression" dxfId="183" priority="90">
      <formula>J43&lt;J44</formula>
    </cfRule>
  </conditionalFormatting>
  <conditionalFormatting sqref="I45">
    <cfRule type="expression" dxfId="182" priority="89">
      <formula>J45&lt;J46</formula>
    </cfRule>
  </conditionalFormatting>
  <conditionalFormatting sqref="I47">
    <cfRule type="expression" dxfId="181" priority="88">
      <formula>J47&lt;J48</formula>
    </cfRule>
  </conditionalFormatting>
  <conditionalFormatting sqref="I49">
    <cfRule type="expression" dxfId="180" priority="87">
      <formula>J49&lt;J50</formula>
    </cfRule>
  </conditionalFormatting>
  <conditionalFormatting sqref="I51">
    <cfRule type="expression" dxfId="179" priority="86">
      <formula>J51&lt;J52</formula>
    </cfRule>
  </conditionalFormatting>
  <conditionalFormatting sqref="I53">
    <cfRule type="expression" dxfId="178" priority="85">
      <formula>J53&lt;J54</formula>
    </cfRule>
  </conditionalFormatting>
  <conditionalFormatting sqref="I55">
    <cfRule type="expression" dxfId="177" priority="84">
      <formula>J55&lt;J56</formula>
    </cfRule>
  </conditionalFormatting>
  <conditionalFormatting sqref="I57">
    <cfRule type="expression" dxfId="176" priority="83">
      <formula>J57&lt;J58</formula>
    </cfRule>
  </conditionalFormatting>
  <conditionalFormatting sqref="I59">
    <cfRule type="expression" dxfId="175" priority="82">
      <formula>J59&lt;J60</formula>
    </cfRule>
  </conditionalFormatting>
  <conditionalFormatting sqref="I61">
    <cfRule type="expression" dxfId="174" priority="81">
      <formula>J61&lt;J62</formula>
    </cfRule>
  </conditionalFormatting>
  <conditionalFormatting sqref="I63">
    <cfRule type="expression" dxfId="173" priority="80">
      <formula>J63&lt;J64</formula>
    </cfRule>
  </conditionalFormatting>
  <conditionalFormatting sqref="I65">
    <cfRule type="expression" dxfId="172" priority="79">
      <formula>J65&lt;J66</formula>
    </cfRule>
  </conditionalFormatting>
  <conditionalFormatting sqref="I10">
    <cfRule type="expression" dxfId="171" priority="78">
      <formula>J10&lt;J9</formula>
    </cfRule>
  </conditionalFormatting>
  <conditionalFormatting sqref="I12">
    <cfRule type="expression" dxfId="170" priority="77">
      <formula>J12&lt;J11</formula>
    </cfRule>
  </conditionalFormatting>
  <conditionalFormatting sqref="I16">
    <cfRule type="expression" dxfId="169" priority="76">
      <formula>J16&lt;J15</formula>
    </cfRule>
  </conditionalFormatting>
  <conditionalFormatting sqref="I18">
    <cfRule type="expression" dxfId="168" priority="75">
      <formula>J18&lt;J17</formula>
    </cfRule>
  </conditionalFormatting>
  <conditionalFormatting sqref="I20">
    <cfRule type="expression" dxfId="167" priority="74">
      <formula>J20&lt;J19</formula>
    </cfRule>
  </conditionalFormatting>
  <conditionalFormatting sqref="I24">
    <cfRule type="expression" dxfId="166" priority="73">
      <formula>J24&lt;J23</formula>
    </cfRule>
  </conditionalFormatting>
  <conditionalFormatting sqref="I26">
    <cfRule type="expression" dxfId="165" priority="72">
      <formula>J26&lt;J25</formula>
    </cfRule>
  </conditionalFormatting>
  <conditionalFormatting sqref="I28">
    <cfRule type="expression" dxfId="164" priority="71">
      <formula>J28&lt;J27</formula>
    </cfRule>
  </conditionalFormatting>
  <conditionalFormatting sqref="I30">
    <cfRule type="expression" dxfId="163" priority="70">
      <formula>J30&lt;J29</formula>
    </cfRule>
  </conditionalFormatting>
  <conditionalFormatting sqref="I32">
    <cfRule type="expression" dxfId="162" priority="69">
      <formula>J32&lt;J31</formula>
    </cfRule>
  </conditionalFormatting>
  <conditionalFormatting sqref="I34">
    <cfRule type="expression" dxfId="161" priority="68">
      <formula>J34&lt;J33</formula>
    </cfRule>
  </conditionalFormatting>
  <conditionalFormatting sqref="I36">
    <cfRule type="expression" dxfId="160" priority="67">
      <formula>J36&lt;J35</formula>
    </cfRule>
  </conditionalFormatting>
  <conditionalFormatting sqref="I38">
    <cfRule type="expression" dxfId="159" priority="66">
      <formula>J38&lt;J37</formula>
    </cfRule>
  </conditionalFormatting>
  <conditionalFormatting sqref="I40">
    <cfRule type="expression" dxfId="158" priority="65">
      <formula>J40&lt;J39</formula>
    </cfRule>
  </conditionalFormatting>
  <conditionalFormatting sqref="I42">
    <cfRule type="expression" dxfId="157" priority="64">
      <formula>J42&lt;J41</formula>
    </cfRule>
  </conditionalFormatting>
  <conditionalFormatting sqref="I44">
    <cfRule type="expression" dxfId="156" priority="63">
      <formula>J44&lt;J43</formula>
    </cfRule>
  </conditionalFormatting>
  <conditionalFormatting sqref="I46">
    <cfRule type="expression" dxfId="155" priority="62">
      <formula>J46&lt;J45</formula>
    </cfRule>
  </conditionalFormatting>
  <conditionalFormatting sqref="I48">
    <cfRule type="expression" dxfId="154" priority="61">
      <formula>J48&lt;J47</formula>
    </cfRule>
  </conditionalFormatting>
  <conditionalFormatting sqref="I50">
    <cfRule type="expression" dxfId="153" priority="60">
      <formula>J50&lt;J49</formula>
    </cfRule>
  </conditionalFormatting>
  <conditionalFormatting sqref="I52">
    <cfRule type="expression" dxfId="152" priority="59">
      <formula>J52&lt;J51</formula>
    </cfRule>
  </conditionalFormatting>
  <conditionalFormatting sqref="I54">
    <cfRule type="expression" dxfId="151" priority="58">
      <formula>J54&lt;J53</formula>
    </cfRule>
  </conditionalFormatting>
  <conditionalFormatting sqref="I56">
    <cfRule type="expression" dxfId="150" priority="57">
      <formula>J56&lt;J55</formula>
    </cfRule>
  </conditionalFormatting>
  <conditionalFormatting sqref="I58">
    <cfRule type="expression" dxfId="149" priority="56">
      <formula>J58&lt;J57</formula>
    </cfRule>
  </conditionalFormatting>
  <conditionalFormatting sqref="I60">
    <cfRule type="expression" dxfId="148" priority="55">
      <formula>J60&lt;J59</formula>
    </cfRule>
  </conditionalFormatting>
  <conditionalFormatting sqref="I62">
    <cfRule type="expression" dxfId="147" priority="54">
      <formula>J62&lt;J61</formula>
    </cfRule>
  </conditionalFormatting>
  <conditionalFormatting sqref="I64">
    <cfRule type="expression" dxfId="146" priority="53">
      <formula>J64&lt;J63</formula>
    </cfRule>
  </conditionalFormatting>
  <conditionalFormatting sqref="I66">
    <cfRule type="expression" dxfId="145" priority="52">
      <formula>J66&lt;J65</formula>
    </cfRule>
  </conditionalFormatting>
  <conditionalFormatting sqref="O3">
    <cfRule type="expression" dxfId="144" priority="51">
      <formula>P3&lt;P4</formula>
    </cfRule>
  </conditionalFormatting>
  <conditionalFormatting sqref="O4">
    <cfRule type="expression" dxfId="143" priority="50">
      <formula>P4&lt;P3</formula>
    </cfRule>
  </conditionalFormatting>
  <conditionalFormatting sqref="O5">
    <cfRule type="expression" dxfId="142" priority="49">
      <formula>P5&lt;P6</formula>
    </cfRule>
  </conditionalFormatting>
  <conditionalFormatting sqref="O6">
    <cfRule type="expression" dxfId="141" priority="48">
      <formula>P6&lt;P5</formula>
    </cfRule>
  </conditionalFormatting>
  <conditionalFormatting sqref="O7">
    <cfRule type="expression" dxfId="140" priority="47">
      <formula>P7&lt;P8</formula>
    </cfRule>
  </conditionalFormatting>
  <conditionalFormatting sqref="O8">
    <cfRule type="expression" dxfId="139" priority="46">
      <formula>P8&lt;P7</formula>
    </cfRule>
  </conditionalFormatting>
  <conditionalFormatting sqref="O9">
    <cfRule type="expression" dxfId="138" priority="45">
      <formula>P9&lt;P10</formula>
    </cfRule>
  </conditionalFormatting>
  <conditionalFormatting sqref="O10">
    <cfRule type="expression" dxfId="137" priority="44">
      <formula>P10&lt;P9</formula>
    </cfRule>
  </conditionalFormatting>
  <conditionalFormatting sqref="O11">
    <cfRule type="expression" dxfId="136" priority="43">
      <formula>P11&lt;P12</formula>
    </cfRule>
  </conditionalFormatting>
  <conditionalFormatting sqref="O12">
    <cfRule type="expression" dxfId="135" priority="42">
      <formula>P12&lt;P11</formula>
    </cfRule>
  </conditionalFormatting>
  <conditionalFormatting sqref="O13">
    <cfRule type="expression" dxfId="134" priority="41">
      <formula>P13&lt;P14</formula>
    </cfRule>
  </conditionalFormatting>
  <conditionalFormatting sqref="O14">
    <cfRule type="expression" dxfId="133" priority="40">
      <formula>P14&lt;P13</formula>
    </cfRule>
  </conditionalFormatting>
  <conditionalFormatting sqref="O15">
    <cfRule type="expression" dxfId="132" priority="39">
      <formula>P15&lt;P16</formula>
    </cfRule>
  </conditionalFormatting>
  <conditionalFormatting sqref="O16">
    <cfRule type="expression" dxfId="131" priority="38">
      <formula>P16&lt;P15</formula>
    </cfRule>
  </conditionalFormatting>
  <conditionalFormatting sqref="O17">
    <cfRule type="expression" dxfId="130" priority="37">
      <formula>P17&lt;P18</formula>
    </cfRule>
  </conditionalFormatting>
  <conditionalFormatting sqref="O18">
    <cfRule type="expression" dxfId="129" priority="36">
      <formula>P18&lt;P17</formula>
    </cfRule>
  </conditionalFormatting>
  <conditionalFormatting sqref="O19">
    <cfRule type="expression" dxfId="128" priority="35">
      <formula>P19&lt;P20</formula>
    </cfRule>
  </conditionalFormatting>
  <conditionalFormatting sqref="O20">
    <cfRule type="expression" dxfId="127" priority="34">
      <formula>P20&lt;P19</formula>
    </cfRule>
  </conditionalFormatting>
  <conditionalFormatting sqref="O21">
    <cfRule type="expression" dxfId="126" priority="33">
      <formula>P21&lt;P22</formula>
    </cfRule>
  </conditionalFormatting>
  <conditionalFormatting sqref="O22">
    <cfRule type="expression" dxfId="125" priority="32">
      <formula>P22&lt;P21</formula>
    </cfRule>
  </conditionalFormatting>
  <conditionalFormatting sqref="O23">
    <cfRule type="expression" dxfId="124" priority="31">
      <formula>P23&lt;P24</formula>
    </cfRule>
  </conditionalFormatting>
  <conditionalFormatting sqref="O24">
    <cfRule type="expression" dxfId="123" priority="30">
      <formula>P24&lt;P23</formula>
    </cfRule>
  </conditionalFormatting>
  <conditionalFormatting sqref="O25">
    <cfRule type="expression" dxfId="122" priority="29">
      <formula>P25&lt;P26</formula>
    </cfRule>
  </conditionalFormatting>
  <conditionalFormatting sqref="O26">
    <cfRule type="expression" dxfId="121" priority="28">
      <formula>P26&lt;P25</formula>
    </cfRule>
  </conditionalFormatting>
  <conditionalFormatting sqref="O27">
    <cfRule type="expression" dxfId="120" priority="27">
      <formula>P27&lt;P28</formula>
    </cfRule>
  </conditionalFormatting>
  <conditionalFormatting sqref="O28">
    <cfRule type="expression" dxfId="119" priority="26">
      <formula>P28&lt;P27</formula>
    </cfRule>
  </conditionalFormatting>
  <conditionalFormatting sqref="O29">
    <cfRule type="expression" dxfId="118" priority="25">
      <formula>P29&lt;P30</formula>
    </cfRule>
  </conditionalFormatting>
  <conditionalFormatting sqref="O30">
    <cfRule type="expression" dxfId="117" priority="24">
      <formula>P30&lt;P29</formula>
    </cfRule>
  </conditionalFormatting>
  <conditionalFormatting sqref="O31">
    <cfRule type="expression" dxfId="116" priority="23">
      <formula>P31&lt;P32</formula>
    </cfRule>
  </conditionalFormatting>
  <conditionalFormatting sqref="O32">
    <cfRule type="expression" dxfId="115" priority="22">
      <formula>P32&lt;P31</formula>
    </cfRule>
  </conditionalFormatting>
  <conditionalFormatting sqref="O33">
    <cfRule type="expression" dxfId="114" priority="21">
      <formula>P33&lt;P34</formula>
    </cfRule>
  </conditionalFormatting>
  <conditionalFormatting sqref="O34">
    <cfRule type="expression" dxfId="113" priority="20">
      <formula>P34&lt;P33</formula>
    </cfRule>
  </conditionalFormatting>
  <conditionalFormatting sqref="U3">
    <cfRule type="expression" dxfId="112" priority="19">
      <formula>V3&lt;V4</formula>
    </cfRule>
  </conditionalFormatting>
  <conditionalFormatting sqref="U4">
    <cfRule type="expression" dxfId="111" priority="18">
      <formula>V4&lt;V3</formula>
    </cfRule>
  </conditionalFormatting>
  <conditionalFormatting sqref="U5 U7 U9 U11 U13 U15 U17">
    <cfRule type="expression" dxfId="110" priority="17">
      <formula>V5&lt;V6</formula>
    </cfRule>
  </conditionalFormatting>
  <conditionalFormatting sqref="U6 U8 U10 U12 U14 U16 U18">
    <cfRule type="expression" dxfId="109" priority="16">
      <formula>V6&lt;V5</formula>
    </cfRule>
  </conditionalFormatting>
  <conditionalFormatting sqref="Z3">
    <cfRule type="expression" dxfId="108" priority="15">
      <formula>AA3&lt;AA4</formula>
    </cfRule>
  </conditionalFormatting>
  <conditionalFormatting sqref="Z4">
    <cfRule type="expression" dxfId="107" priority="14">
      <formula>AA4&lt;AA3</formula>
    </cfRule>
  </conditionalFormatting>
  <conditionalFormatting sqref="Z5 Z7 Z9">
    <cfRule type="expression" dxfId="106" priority="13">
      <formula>AA5&lt;AA6</formula>
    </cfRule>
  </conditionalFormatting>
  <conditionalFormatting sqref="Z6 Z8 Z10">
    <cfRule type="expression" dxfId="105" priority="12">
      <formula>AA6&lt;AA5</formula>
    </cfRule>
  </conditionalFormatting>
  <conditionalFormatting sqref="AE3">
    <cfRule type="expression" dxfId="104" priority="7">
      <formula>AF3&lt;AF4</formula>
    </cfRule>
  </conditionalFormatting>
  <conditionalFormatting sqref="AE4">
    <cfRule type="expression" dxfId="103" priority="6">
      <formula>AF4&lt;AF3</formula>
    </cfRule>
  </conditionalFormatting>
  <conditionalFormatting sqref="AE5">
    <cfRule type="expression" dxfId="102" priority="5">
      <formula>AF5&lt;AF6</formula>
    </cfRule>
  </conditionalFormatting>
  <conditionalFormatting sqref="AE6">
    <cfRule type="expression" dxfId="101" priority="4">
      <formula>AF6&lt;AF5</formula>
    </cfRule>
  </conditionalFormatting>
  <conditionalFormatting sqref="AA3:AA10">
    <cfRule type="expression" dxfId="100" priority="1">
      <formula>AB3&lt;AB4</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FFFF00"/>
    <pageSetUpPr fitToPage="1"/>
  </sheetPr>
  <dimension ref="A1:AX82"/>
  <sheetViews>
    <sheetView topLeftCell="I1" zoomScaleNormal="100" workbookViewId="0">
      <selection activeCell="AB3" sqref="AB3:AI22"/>
    </sheetView>
  </sheetViews>
  <sheetFormatPr defaultRowHeight="12.75"/>
  <cols>
    <col min="1" max="1" width="9.1328125" hidden="1" customWidth="1"/>
    <col min="3" max="3" width="7.59765625" style="4" customWidth="1"/>
    <col min="4" max="4" width="11.8632812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14" hidden="1" customWidth="1"/>
    <col min="28" max="28" width="15.1328125" customWidth="1"/>
    <col min="29" max="29" width="7.59765625" style="193" customWidth="1"/>
    <col min="30" max="30" width="3.73046875" hidden="1" customWidth="1"/>
    <col min="31" max="31" width="16.1328125" customWidth="1"/>
    <col min="32" max="32" width="7.73046875" customWidth="1"/>
    <col min="33" max="33" width="8.1328125" hidden="1" customWidth="1"/>
    <col min="34" max="34" width="16.265625" customWidth="1"/>
    <col min="35" max="35" width="7.1328125" customWidth="1"/>
    <col min="36" max="36" width="3.86328125" hidden="1" customWidth="1"/>
    <col min="37" max="37" width="15.59765625" customWidth="1"/>
    <col min="38" max="38" width="7.59765625" customWidth="1"/>
    <col min="40" max="43" width="20.59765625" customWidth="1"/>
  </cols>
  <sheetData>
    <row r="1" spans="1:49" ht="23" customHeight="1">
      <c r="B1" s="509" t="s">
        <v>469</v>
      </c>
      <c r="C1" s="510" t="s">
        <v>563</v>
      </c>
      <c r="D1" s="510" t="s">
        <v>564</v>
      </c>
      <c r="E1" s="80"/>
      <c r="F1" s="76"/>
      <c r="G1" s="76"/>
      <c r="H1" s="80"/>
      <c r="I1" s="76"/>
      <c r="J1" s="77"/>
      <c r="K1" s="76"/>
      <c r="L1" s="76"/>
      <c r="M1" s="76"/>
      <c r="N1" s="76"/>
      <c r="O1" s="76"/>
      <c r="P1" s="76"/>
      <c r="Q1" s="76"/>
      <c r="R1" s="76"/>
      <c r="S1" s="76"/>
      <c r="T1" s="76"/>
      <c r="U1" s="76"/>
      <c r="V1" s="76"/>
      <c r="W1" s="76"/>
      <c r="X1" s="76"/>
      <c r="Y1" s="76"/>
      <c r="Z1" s="76"/>
      <c r="AA1" s="76"/>
      <c r="AB1" s="76"/>
      <c r="AC1" s="87"/>
      <c r="AD1" s="76"/>
      <c r="AE1" s="76"/>
      <c r="AF1" s="76"/>
      <c r="AG1" s="76"/>
      <c r="AH1" s="76"/>
      <c r="AI1" s="76"/>
      <c r="AJ1" s="76"/>
      <c r="AK1" s="76"/>
      <c r="AL1" s="76"/>
      <c r="AM1" s="76"/>
      <c r="AN1" s="76"/>
      <c r="AO1" s="76"/>
      <c r="AP1" s="76"/>
      <c r="AQ1" s="76"/>
      <c r="AR1" s="76"/>
    </row>
    <row r="2" spans="1:49" ht="23.25" customHeight="1">
      <c r="B2" s="509" t="s">
        <v>485</v>
      </c>
      <c r="C2" s="641" t="s">
        <v>545</v>
      </c>
      <c r="D2" s="77"/>
      <c r="E2" s="80"/>
      <c r="F2" s="76"/>
      <c r="G2" s="76"/>
      <c r="H2" s="80"/>
      <c r="I2" s="76"/>
      <c r="J2" s="77"/>
      <c r="K2" s="76"/>
      <c r="L2" s="76"/>
      <c r="M2" s="76"/>
      <c r="N2" s="76"/>
      <c r="O2" s="76"/>
      <c r="P2" s="76"/>
      <c r="Q2" s="76"/>
      <c r="R2" s="76"/>
      <c r="S2" s="76"/>
      <c r="T2" s="493"/>
      <c r="U2" s="76"/>
      <c r="V2" s="76"/>
      <c r="W2" s="76"/>
      <c r="X2" s="76"/>
      <c r="Y2" s="76"/>
      <c r="Z2" s="76"/>
      <c r="AA2" s="76"/>
      <c r="AB2" s="76"/>
      <c r="AC2" s="87"/>
      <c r="AD2" s="76"/>
      <c r="AE2" s="76"/>
      <c r="AF2" s="76"/>
      <c r="AG2" s="76"/>
      <c r="AH2" s="76"/>
      <c r="AI2" s="76"/>
      <c r="AJ2" s="76"/>
      <c r="AK2" s="76"/>
      <c r="AL2" s="76"/>
      <c r="AM2" s="76"/>
      <c r="AN2" s="76"/>
      <c r="AO2" s="76"/>
      <c r="AP2" s="76"/>
      <c r="AQ2" s="76"/>
      <c r="AR2" s="76"/>
      <c r="AS2" s="76"/>
      <c r="AT2" s="76"/>
      <c r="AU2" s="76"/>
      <c r="AV2" s="76"/>
      <c r="AW2" s="76"/>
    </row>
    <row r="3" spans="1:49" ht="26.25" customHeight="1">
      <c r="B3" s="76"/>
      <c r="C3" s="139"/>
      <c r="D3" s="689" t="str">
        <f>CONCATENATE("Promotion/Prize Places (Top 6) In Division after Round ",$C$2)</f>
        <v>Promotion/Prize Places (Top 6) In Division after Round 15</v>
      </c>
      <c r="E3" s="690"/>
      <c r="F3" s="690"/>
      <c r="G3" s="690"/>
      <c r="H3" s="695"/>
      <c r="I3" s="139"/>
      <c r="J3" s="328"/>
      <c r="K3" s="689" t="str">
        <f>CONCATENATE("Weekly Top 12 for Round ",$C$2)</f>
        <v>Weekly Top 12 for Round 15</v>
      </c>
      <c r="L3" s="690"/>
      <c r="M3" s="690"/>
      <c r="N3" s="690"/>
      <c r="O3" s="690"/>
      <c r="P3" s="690"/>
      <c r="Q3" s="690"/>
      <c r="R3" s="690"/>
      <c r="S3" s="695"/>
      <c r="T3" s="76"/>
      <c r="U3" s="508"/>
      <c r="V3" s="76"/>
      <c r="W3" s="76"/>
      <c r="X3" s="76"/>
      <c r="Y3" s="76"/>
      <c r="Z3" s="76"/>
      <c r="AA3" s="404"/>
      <c r="AB3" s="689" t="str">
        <f>CONCATENATE("League Standings after Round ",$C$2)</f>
        <v>League Standings after Round 15</v>
      </c>
      <c r="AC3" s="690"/>
      <c r="AD3" s="690"/>
      <c r="AE3" s="690"/>
      <c r="AF3" s="690"/>
      <c r="AG3" s="690"/>
      <c r="AH3" s="690"/>
      <c r="AI3" s="690"/>
      <c r="AJ3" s="515"/>
      <c r="AK3" s="515"/>
      <c r="AL3" s="508"/>
      <c r="AM3" s="76"/>
      <c r="AN3" s="716" t="s">
        <v>513</v>
      </c>
      <c r="AO3" s="716"/>
      <c r="AP3" s="716"/>
      <c r="AQ3" s="716"/>
      <c r="AR3" s="76"/>
      <c r="AS3" s="76"/>
      <c r="AT3" s="76"/>
      <c r="AU3" s="76"/>
      <c r="AV3" s="76"/>
      <c r="AW3" s="76"/>
    </row>
    <row r="4" spans="1:49" ht="27" customHeight="1">
      <c r="B4" s="76"/>
      <c r="C4" s="226" t="s">
        <v>217</v>
      </c>
      <c r="D4" s="300" t="s">
        <v>267</v>
      </c>
      <c r="E4" s="301" t="s">
        <v>268</v>
      </c>
      <c r="F4" s="133" t="s">
        <v>168</v>
      </c>
      <c r="G4" s="288" t="s">
        <v>269</v>
      </c>
      <c r="H4" s="289" t="s">
        <v>127</v>
      </c>
      <c r="I4" s="140"/>
      <c r="J4" s="328"/>
      <c r="K4" s="432" t="s">
        <v>102</v>
      </c>
      <c r="L4" s="698" t="s">
        <v>168</v>
      </c>
      <c r="M4" s="691"/>
      <c r="N4" s="525" t="s">
        <v>530</v>
      </c>
      <c r="O4" s="524" t="s">
        <v>222</v>
      </c>
      <c r="P4" s="525" t="s">
        <v>467</v>
      </c>
      <c r="Q4" s="525" t="s">
        <v>460</v>
      </c>
      <c r="R4" s="519" t="s">
        <v>458</v>
      </c>
      <c r="S4" s="520" t="s">
        <v>459</v>
      </c>
      <c r="T4" s="76"/>
      <c r="U4" s="76"/>
      <c r="V4" s="58" t="s">
        <v>224</v>
      </c>
      <c r="W4" s="58" t="s">
        <v>168</v>
      </c>
      <c r="X4" s="58" t="s">
        <v>13</v>
      </c>
      <c r="Y4" s="58" t="s">
        <v>53</v>
      </c>
      <c r="Z4" s="76"/>
      <c r="AA4" s="405"/>
      <c r="AB4" s="707" t="s">
        <v>218</v>
      </c>
      <c r="AC4" s="708"/>
      <c r="AD4" s="458"/>
      <c r="AE4" s="707" t="s">
        <v>219</v>
      </c>
      <c r="AF4" s="708"/>
      <c r="AG4" s="458"/>
      <c r="AH4" s="707" t="s">
        <v>220</v>
      </c>
      <c r="AI4" s="708"/>
      <c r="AJ4" s="458"/>
      <c r="AK4" s="707" t="s">
        <v>221</v>
      </c>
      <c r="AL4" s="708"/>
      <c r="AM4" s="76"/>
      <c r="AN4" s="133" t="str">
        <f>IF(AB4="","",AB4)</f>
        <v>Division A</v>
      </c>
      <c r="AO4" s="133" t="str">
        <f>IF(AE4="","",AE4)</f>
        <v>Division B</v>
      </c>
      <c r="AP4" s="133" t="str">
        <f>IF(AH4="","",AH4)</f>
        <v>Division C</v>
      </c>
      <c r="AQ4" s="133" t="str">
        <f>IF(AK4="","",AK4)</f>
        <v>Division D</v>
      </c>
      <c r="AR4" s="76"/>
      <c r="AS4" s="76"/>
      <c r="AT4" s="76"/>
      <c r="AU4" s="76"/>
      <c r="AV4" s="76"/>
      <c r="AW4" s="76"/>
    </row>
    <row r="5" spans="1:49" ht="18" customHeight="1">
      <c r="A5" s="8" t="s">
        <v>38</v>
      </c>
      <c r="B5" s="692" t="s">
        <v>218</v>
      </c>
      <c r="C5" s="227">
        <v>1</v>
      </c>
      <c r="D5" s="302">
        <f>INDEX(Table!I:I,MATCH($A5,Table!$B:$B,0))</f>
        <v>86.336166666666685</v>
      </c>
      <c r="E5" s="137">
        <f>INDEX(Table!J:J,MATCH($A5,Table!$B:$B,0))</f>
        <v>13</v>
      </c>
      <c r="F5" s="138" t="str">
        <f>INDEX(Table!F:F,MATCH($A5,Table!$B:$B,0))</f>
        <v>Chris Townsend</v>
      </c>
      <c r="G5" s="302">
        <f>INDEX(Table!K:K,MATCH($A5,Table!$B:$B,0))</f>
        <v>-7</v>
      </c>
      <c r="H5" s="137">
        <f>INDEX(Table!L:L,MATCH($A5,Table!$B:$B,0))</f>
        <v>0</v>
      </c>
      <c r="I5" s="139"/>
      <c r="J5" s="589">
        <v>1</v>
      </c>
      <c r="K5" s="228">
        <v>10</v>
      </c>
      <c r="L5" s="702" t="str">
        <f>INDEX(Weekly!E:E,MATCH($J5,Weekly!$B:$B,0))</f>
        <v>Gerard Ventom</v>
      </c>
      <c r="M5" s="703"/>
      <c r="N5" s="526">
        <f>INDEX(Weekly!A:A,MATCH($L5,Weekly!$E:$E,0))</f>
        <v>2</v>
      </c>
      <c r="O5" s="644" t="str">
        <f>INDEX(Weekly!D:D,MATCH($L5,Weekly!$E:$E,0))</f>
        <v>A</v>
      </c>
      <c r="P5" s="644">
        <f>INDEX(Table!D:D,MATCH($L5,Table!$F:$F,0))</f>
        <v>2</v>
      </c>
      <c r="Q5" s="530">
        <f>INDEX(Weekly!F:F,MATCH($L5,Weekly!$E:$E,0))</f>
        <v>73.850000000000009</v>
      </c>
      <c r="R5" s="534">
        <f>INDEX(Weekly!I:I,MATCH($L5,Weekly!$E:$E,0))</f>
        <v>3</v>
      </c>
      <c r="S5" s="366">
        <f>INDEX(Weekly!H:H,MATCH($L5,Weekly!$E:$E,0))</f>
        <v>62.2</v>
      </c>
      <c r="T5" s="76"/>
      <c r="U5" s="76">
        <v>1</v>
      </c>
      <c r="V5" s="76"/>
      <c r="W5" s="76"/>
      <c r="X5" s="76"/>
      <c r="Y5" s="76"/>
      <c r="Z5" s="76"/>
      <c r="AA5" s="406" t="s">
        <v>38</v>
      </c>
      <c r="AB5" s="409" t="str">
        <f>INDEX(Table!$F:$F,MATCH(AA5,Table!$B:$B,0))</f>
        <v>Chris Townsend</v>
      </c>
      <c r="AC5" s="410">
        <f>INDEX(Table!$I:$I,MATCH(AA5,Table!$B:$B,0))</f>
        <v>86.336166666666685</v>
      </c>
      <c r="AD5" s="411" t="s">
        <v>235</v>
      </c>
      <c r="AE5" s="464" t="str">
        <f>INDEX(Table!$F:$F,MATCH(AD5,Table!$B:$B,0))</f>
        <v>Alick Rocca</v>
      </c>
      <c r="AF5" s="410">
        <f>INDEX(Table!$I:$I,MATCH(AD5,Table!$B:$B,0))</f>
        <v>53.166000000000004</v>
      </c>
      <c r="AG5" s="411" t="s">
        <v>240</v>
      </c>
      <c r="AH5" s="464" t="str">
        <f>INDEX(Table!$F:$F,MATCH(AG5,Table!$B:$B,0))</f>
        <v>David Dunn</v>
      </c>
      <c r="AI5" s="410">
        <f>INDEX(Table!$I:$I,MATCH(AG5,Table!$B:$B,0))</f>
        <v>54.895888888888877</v>
      </c>
      <c r="AJ5" s="411" t="s">
        <v>36</v>
      </c>
      <c r="AK5" s="464" t="e">
        <f>INDEX(Table!$F:$F,MATCH(AJ5,Table!$B:$B,0))</f>
        <v>#N/A</v>
      </c>
      <c r="AL5" s="410" t="e">
        <f>INDEX(Table!$I:$I,MATCH(AJ5,Table!$B:$B,0))</f>
        <v>#N/A</v>
      </c>
      <c r="AM5" s="76"/>
      <c r="AN5" s="620" t="str">
        <f>IF(AB5="","",AB5)</f>
        <v>Chris Townsend</v>
      </c>
      <c r="AO5" s="620" t="str">
        <f t="shared" ref="AO5:AO20" si="0">IF(AE5="","",AE5)</f>
        <v>Alick Rocca</v>
      </c>
      <c r="AP5" s="620" t="str">
        <f t="shared" ref="AP5:AP20" si="1">IF(AH5="","",AH5)</f>
        <v>David Dunn</v>
      </c>
      <c r="AQ5" s="620" t="e">
        <f t="shared" ref="AQ5:AQ20" si="2">IF(AK5="","",AK5)</f>
        <v>#N/A</v>
      </c>
      <c r="AR5" s="76"/>
      <c r="AS5" s="76"/>
      <c r="AT5" s="76"/>
      <c r="AU5" s="76"/>
      <c r="AV5" s="76"/>
      <c r="AW5" s="76"/>
    </row>
    <row r="6" spans="1:49" ht="18" customHeight="1">
      <c r="A6" s="8" t="s">
        <v>39</v>
      </c>
      <c r="B6" s="693"/>
      <c r="C6" s="227">
        <v>2</v>
      </c>
      <c r="D6" s="302">
        <f>INDEX(Table!I:I,MATCH($A6,Table!$B:$B,0))</f>
        <v>73.850000000000009</v>
      </c>
      <c r="E6" s="137">
        <f>INDEX(Table!J:J,MATCH($A6,Table!$B:$B,0))</f>
        <v>19</v>
      </c>
      <c r="F6" s="138" t="str">
        <f>INDEX(Table!F:F,MATCH($A6,Table!$B:$B,0))</f>
        <v>Gerard Ventom</v>
      </c>
      <c r="G6" s="302">
        <f>INDEX(Table!K:K,MATCH($A6,Table!$B:$B,0))</f>
        <v>62.2</v>
      </c>
      <c r="H6" s="137">
        <f>INDEX(Table!L:L,MATCH($A6,Table!$B:$B,0))</f>
        <v>3</v>
      </c>
      <c r="I6" s="139"/>
      <c r="J6" s="589">
        <v>2</v>
      </c>
      <c r="K6" s="228">
        <v>5</v>
      </c>
      <c r="L6" s="704" t="str">
        <f>INDEX(Weekly!E:E,MATCH($J6,Weekly!$B:$B,0))</f>
        <v>Gareth Powell</v>
      </c>
      <c r="M6" s="705"/>
      <c r="N6" s="526">
        <f>INDEX(Weekly!A:A,MATCH($L6,Weekly!$E:$E,0))</f>
        <v>42</v>
      </c>
      <c r="O6" s="644" t="str">
        <f>INDEX(Weekly!D:D,MATCH($L6,Weekly!$E:$E,0))</f>
        <v>C</v>
      </c>
      <c r="P6" s="644">
        <f>INDEX(Table!D:D,MATCH($L6,Table!$F:$F,0))</f>
        <v>13</v>
      </c>
      <c r="Q6" s="530">
        <f>INDEX(Weekly!F:F,MATCH($L6,Weekly!$E:$E,0))</f>
        <v>-56.95</v>
      </c>
      <c r="R6" s="534">
        <f>INDEX(Weekly!I:I,MATCH($L6,Weekly!$E:$E,0))</f>
        <v>2</v>
      </c>
      <c r="S6" s="366">
        <f>INDEX(Weekly!H:H,MATCH($L6,Weekly!$E:$E,0))</f>
        <v>14</v>
      </c>
      <c r="T6" s="76"/>
      <c r="U6" s="76">
        <v>2</v>
      </c>
      <c r="V6" s="76"/>
      <c r="W6" s="76"/>
      <c r="X6" s="76"/>
      <c r="Y6" s="76"/>
      <c r="Z6" s="76"/>
      <c r="AA6" s="406" t="s">
        <v>39</v>
      </c>
      <c r="AB6" s="409" t="str">
        <f>INDEX(Table!F:F,MATCH(AA6,Table!$B:$B,0))</f>
        <v>Gerard Ventom</v>
      </c>
      <c r="AC6" s="410">
        <f>INDEX(Table!I:I,MATCH(AA6,Table!$B:$B,0))</f>
        <v>73.850000000000009</v>
      </c>
      <c r="AD6" s="411" t="s">
        <v>236</v>
      </c>
      <c r="AE6" s="464" t="str">
        <f>INDEX(Table!$F:$F,MATCH(AD6,Table!$B:$B,0))</f>
        <v>Andy White</v>
      </c>
      <c r="AF6" s="410">
        <f>INDEX(Table!$I:$I,MATCH(AD6,Table!$B:$B,0))</f>
        <v>16.780674242424247</v>
      </c>
      <c r="AG6" s="411" t="s">
        <v>241</v>
      </c>
      <c r="AH6" s="464" t="str">
        <f>INDEX(Table!$F:$F,MATCH(AG6,Table!$B:$B,0))</f>
        <v>Ben Rosser</v>
      </c>
      <c r="AI6" s="410">
        <f>INDEX(Table!$I:$I,MATCH(AG6,Table!$B:$B,0))</f>
        <v>54.690757575757573</v>
      </c>
      <c r="AJ6" s="411" t="s">
        <v>37</v>
      </c>
      <c r="AK6" s="464" t="e">
        <f>INDEX(Table!$F:$F,MATCH(AJ6,Table!$B:$B,0))</f>
        <v>#N/A</v>
      </c>
      <c r="AL6" s="410" t="e">
        <f>INDEX(Table!$I:$I,MATCH(AJ6,Table!$B:$B,0))</f>
        <v>#N/A</v>
      </c>
      <c r="AM6" s="76"/>
      <c r="AN6" s="620" t="str">
        <f t="shared" ref="AN6:AN20" si="3">IF(AB6="","",AB6)</f>
        <v>Gerard Ventom</v>
      </c>
      <c r="AO6" s="620" t="str">
        <f t="shared" si="0"/>
        <v>Andy White</v>
      </c>
      <c r="AP6" s="620" t="str">
        <f t="shared" si="1"/>
        <v>Ben Rosser</v>
      </c>
      <c r="AQ6" s="620" t="e">
        <f t="shared" si="2"/>
        <v>#N/A</v>
      </c>
      <c r="AR6" s="76"/>
      <c r="AS6" s="76"/>
      <c r="AT6" s="76"/>
      <c r="AU6" s="76"/>
      <c r="AV6" s="76"/>
      <c r="AW6" s="76"/>
    </row>
    <row r="7" spans="1:49" ht="18" customHeight="1">
      <c r="A7" s="8" t="s">
        <v>232</v>
      </c>
      <c r="B7" s="693"/>
      <c r="C7" s="227">
        <v>3</v>
      </c>
      <c r="D7" s="302">
        <f>INDEX(Table!I:I,MATCH($A7,Table!$B:$B,0))</f>
        <v>40.49526223776224</v>
      </c>
      <c r="E7" s="137">
        <f>INDEX(Table!J:J,MATCH($A7,Table!$B:$B,0))</f>
        <v>21</v>
      </c>
      <c r="F7" s="138" t="str">
        <f>INDEX(Table!F:F,MATCH($A7,Table!$B:$B,0))</f>
        <v>Nigel Heyes</v>
      </c>
      <c r="G7" s="302">
        <f>INDEX(Table!K:K,MATCH($A7,Table!$B:$B,0))</f>
        <v>-5.05</v>
      </c>
      <c r="H7" s="137">
        <f>INDEX(Table!L:L,MATCH($A7,Table!$B:$B,0))</f>
        <v>1</v>
      </c>
      <c r="I7" s="139"/>
      <c r="J7" s="589">
        <v>3</v>
      </c>
      <c r="K7" s="228">
        <v>5</v>
      </c>
      <c r="L7" s="704" t="s">
        <v>304</v>
      </c>
      <c r="M7" s="705"/>
      <c r="N7" s="526">
        <f>INDEX(Weekly!A:A,MATCH($L7,Weekly!$E:$E,0))</f>
        <v>24</v>
      </c>
      <c r="O7" s="644" t="str">
        <f>INDEX(Weekly!D:D,MATCH($L7,Weekly!$E:$E,0))</f>
        <v>B</v>
      </c>
      <c r="P7" s="644">
        <f>INDEX(Table!D:D,MATCH($L7,Table!$F:$F,0))</f>
        <v>8</v>
      </c>
      <c r="Q7" s="530">
        <f>INDEX(Weekly!F:F,MATCH($L7,Weekly!$E:$E,0))</f>
        <v>-27.917812937062934</v>
      </c>
      <c r="R7" s="534">
        <f>INDEX(Weekly!I:I,MATCH($L7,Weekly!$E:$E,0))</f>
        <v>2</v>
      </c>
      <c r="S7" s="366">
        <f>INDEX(Weekly!H:H,MATCH($L7,Weekly!$E:$E,0))</f>
        <v>14</v>
      </c>
      <c r="T7" s="76"/>
      <c r="U7" s="76">
        <v>3</v>
      </c>
      <c r="V7" s="76"/>
      <c r="W7" s="76"/>
      <c r="X7" s="76"/>
      <c r="Y7" s="76"/>
      <c r="Z7" s="76"/>
      <c r="AA7" s="406" t="s">
        <v>232</v>
      </c>
      <c r="AB7" s="409" t="str">
        <f>INDEX(Table!F:F,MATCH(AA7,Table!$B:$B,0))</f>
        <v>Nigel Heyes</v>
      </c>
      <c r="AC7" s="410">
        <f>INDEX(Table!I:I,MATCH(AA7,Table!$B:$B,0))</f>
        <v>40.49526223776224</v>
      </c>
      <c r="AD7" s="411" t="s">
        <v>237</v>
      </c>
      <c r="AE7" s="464" t="str">
        <f>INDEX(Table!$F:$F,MATCH(AD7,Table!$B:$B,0))</f>
        <v>Barry Birchall</v>
      </c>
      <c r="AF7" s="410">
        <f>INDEX(Table!$I:$I,MATCH(AD7,Table!$B:$B,0))</f>
        <v>1.6646320346320316</v>
      </c>
      <c r="AG7" s="411" t="s">
        <v>242</v>
      </c>
      <c r="AH7" s="464" t="str">
        <f>INDEX(Table!$F:$F,MATCH(AG7,Table!$B:$B,0))</f>
        <v>Paul Allen</v>
      </c>
      <c r="AI7" s="410">
        <f>INDEX(Table!$I:$I,MATCH(AG7,Table!$B:$B,0))</f>
        <v>14.873041125541125</v>
      </c>
      <c r="AJ7" s="411" t="s">
        <v>245</v>
      </c>
      <c r="AK7" s="464" t="e">
        <f>INDEX(Table!$F:$F,MATCH(AJ7,Table!$B:$B,0))</f>
        <v>#N/A</v>
      </c>
      <c r="AL7" s="410" t="e">
        <f>INDEX(Table!$I:$I,MATCH(AJ7,Table!$B:$B,0))</f>
        <v>#N/A</v>
      </c>
      <c r="AM7" s="76"/>
      <c r="AN7" s="620" t="str">
        <f t="shared" si="3"/>
        <v>Nigel Heyes</v>
      </c>
      <c r="AO7" s="620" t="str">
        <f t="shared" si="0"/>
        <v>Barry Birchall</v>
      </c>
      <c r="AP7" s="620" t="str">
        <f t="shared" si="1"/>
        <v>Paul Allen</v>
      </c>
      <c r="AQ7" s="620" t="e">
        <f t="shared" si="2"/>
        <v>#N/A</v>
      </c>
      <c r="AR7" s="76"/>
      <c r="AS7" s="76"/>
      <c r="AT7" s="76"/>
      <c r="AU7" s="76"/>
      <c r="AV7" s="76"/>
      <c r="AW7" s="76"/>
    </row>
    <row r="8" spans="1:49" ht="18" customHeight="1" thickBot="1">
      <c r="A8" s="8" t="s">
        <v>233</v>
      </c>
      <c r="B8" s="693"/>
      <c r="C8" s="227">
        <v>4</v>
      </c>
      <c r="D8" s="302">
        <f>INDEX(Table!I:I,MATCH($A8,Table!$B:$B,0))</f>
        <v>1.9268205128205116</v>
      </c>
      <c r="E8" s="137">
        <f>INDEX(Table!J:J,MATCH($A8,Table!$B:$B,0))</f>
        <v>25</v>
      </c>
      <c r="F8" s="138" t="str">
        <f>INDEX(Table!F:F,MATCH($A8,Table!$B:$B,0))</f>
        <v>Rob England</v>
      </c>
      <c r="G8" s="302">
        <f>INDEX(Table!K:K,MATCH($A8,Table!$B:$B,0))</f>
        <v>-0.84500000000000064</v>
      </c>
      <c r="H8" s="137">
        <f>INDEX(Table!L:L,MATCH($A8,Table!$B:$B,0))</f>
        <v>2</v>
      </c>
      <c r="I8" s="589"/>
      <c r="J8" s="589">
        <v>4</v>
      </c>
      <c r="K8" s="299">
        <v>5</v>
      </c>
      <c r="L8" s="713" t="str">
        <f>INDEX(Weekly!E:E,MATCH($J8,Weekly!$B:$B,0))</f>
        <v>Martin Tarbuck</v>
      </c>
      <c r="M8" s="714"/>
      <c r="N8" s="527">
        <f>INDEX(Weekly!A:A,MATCH($L8,Weekly!$E:$E,0))</f>
        <v>20</v>
      </c>
      <c r="O8" s="645" t="str">
        <f>INDEX(Weekly!D:D,MATCH($L8,Weekly!$E:$E,0))</f>
        <v>C</v>
      </c>
      <c r="P8" s="645">
        <f>INDEX(Table!D:D,MATCH($L8,Table!$F:$F,0))</f>
        <v>8</v>
      </c>
      <c r="Q8" s="531">
        <f>INDEX(Weekly!F:F,MATCH($L8,Weekly!$E:$E,0))</f>
        <v>-20.856522727272729</v>
      </c>
      <c r="R8" s="535">
        <f>INDEX(Weekly!I:I,MATCH($L8,Weekly!$E:$E,0))</f>
        <v>3</v>
      </c>
      <c r="S8" s="457">
        <f>INDEX(Weekly!H:H,MATCH($L8,Weekly!$E:$E,0))</f>
        <v>12.139999999999997</v>
      </c>
      <c r="T8" s="76"/>
      <c r="U8" s="76">
        <v>4</v>
      </c>
      <c r="V8" s="76"/>
      <c r="W8" s="76"/>
      <c r="X8" s="76"/>
      <c r="Y8" s="76"/>
      <c r="Z8" s="76"/>
      <c r="AA8" s="406" t="s">
        <v>233</v>
      </c>
      <c r="AB8" s="409" t="str">
        <f>INDEX(Table!F:F,MATCH(AA8,Table!$B:$B,0))</f>
        <v>Rob England</v>
      </c>
      <c r="AC8" s="410">
        <f>INDEX(Table!I:I,MATCH(AA8,Table!$B:$B,0))</f>
        <v>1.9268205128205116</v>
      </c>
      <c r="AD8" s="411" t="s">
        <v>238</v>
      </c>
      <c r="AE8" s="464" t="str">
        <f>INDEX(Table!$F:$F,MATCH(AD8,Table!$B:$B,0))</f>
        <v>Graham Miller</v>
      </c>
      <c r="AF8" s="410">
        <f>INDEX(Table!$I:$I,MATCH(AD8,Table!$B:$B,0))</f>
        <v>-8.5657750068861187</v>
      </c>
      <c r="AG8" s="411" t="s">
        <v>243</v>
      </c>
      <c r="AH8" s="464" t="str">
        <f>INDEX(Table!$F:$F,MATCH(AG8,Table!$B:$B,0))</f>
        <v>Kevin Carter</v>
      </c>
      <c r="AI8" s="410">
        <f>INDEX(Table!$I:$I,MATCH(AG8,Table!$B:$B,0))</f>
        <v>7.1079545454545396</v>
      </c>
      <c r="AJ8" s="411" t="s">
        <v>316</v>
      </c>
      <c r="AK8" s="464" t="e">
        <f>INDEX(Table!$F:$F,MATCH(AJ8,Table!$B:$B,0))</f>
        <v>#N/A</v>
      </c>
      <c r="AL8" s="410" t="e">
        <f>INDEX(Table!$I:$I,MATCH(AJ8,Table!$B:$B,0))</f>
        <v>#N/A</v>
      </c>
      <c r="AM8" s="76"/>
      <c r="AN8" s="620" t="str">
        <f t="shared" si="3"/>
        <v>Rob England</v>
      </c>
      <c r="AO8" s="620" t="str">
        <f t="shared" si="0"/>
        <v>Graham Miller</v>
      </c>
      <c r="AP8" s="620" t="str">
        <f t="shared" si="1"/>
        <v>Kevin Carter</v>
      </c>
      <c r="AQ8" s="620" t="e">
        <f t="shared" si="2"/>
        <v>#N/A</v>
      </c>
      <c r="AR8" s="76"/>
      <c r="AS8" s="76"/>
      <c r="AT8" s="76"/>
      <c r="AU8" s="76"/>
      <c r="AV8" s="76"/>
      <c r="AW8" s="76"/>
    </row>
    <row r="9" spans="1:49" ht="18" customHeight="1" thickTop="1">
      <c r="A9" s="8" t="s">
        <v>234</v>
      </c>
      <c r="B9" s="693"/>
      <c r="C9" s="227">
        <v>5</v>
      </c>
      <c r="D9" s="302">
        <f>INDEX(Table!I:I,MATCH($A9,Table!$B:$B,0))</f>
        <v>0.59698863636364496</v>
      </c>
      <c r="E9" s="137">
        <f>INDEX(Table!J:J,MATCH($A9,Table!$B:$B,0))</f>
        <v>22</v>
      </c>
      <c r="F9" s="138" t="str">
        <f>INDEX(Table!F:F,MATCH($A9,Table!$B:$B,0))</f>
        <v>Steve Carter</v>
      </c>
      <c r="G9" s="302">
        <f>INDEX(Table!K:K,MATCH($A9,Table!$B:$B,0))</f>
        <v>0.83500000000000085</v>
      </c>
      <c r="H9" s="137">
        <f>INDEX(Table!L:L,MATCH($A9,Table!$B:$B,0))</f>
        <v>2</v>
      </c>
      <c r="I9" s="589"/>
      <c r="J9" s="589">
        <v>5</v>
      </c>
      <c r="K9" s="298"/>
      <c r="L9" s="711" t="str">
        <f>INDEX(Weekly!E:E,MATCH($J9,Weekly!$B:$B,0))</f>
        <v>Martin Molyneux</v>
      </c>
      <c r="M9" s="712"/>
      <c r="N9" s="528">
        <f>INDEX(Weekly!A:A,MATCH($L9,Weekly!$E:$E,0))</f>
        <v>25</v>
      </c>
      <c r="O9" s="646" t="str">
        <f>INDEX(Weekly!D:D,MATCH($L9,Weekly!$E:$E,0))</f>
        <v>A</v>
      </c>
      <c r="P9" s="646">
        <f>INDEX(Table!D:D,MATCH($L9,Table!$F:$F,0))</f>
        <v>8</v>
      </c>
      <c r="Q9" s="532">
        <f>INDEX(Weekly!F:F,MATCH($L9,Weekly!$E:$E,0))</f>
        <v>-28.426616161616163</v>
      </c>
      <c r="R9" s="536">
        <f>INDEX(Weekly!I:I,MATCH($L9,Weekly!$E:$E,0))</f>
        <v>3</v>
      </c>
      <c r="S9" s="367">
        <f>INDEX(Weekly!H:H,MATCH($L9,Weekly!$E:$E,0))</f>
        <v>10.683333333333334</v>
      </c>
      <c r="T9" s="76"/>
      <c r="U9" s="76">
        <v>5</v>
      </c>
      <c r="V9" s="76"/>
      <c r="W9" s="76"/>
      <c r="X9" s="76"/>
      <c r="Y9" s="76"/>
      <c r="Z9" s="76"/>
      <c r="AA9" s="406" t="s">
        <v>234</v>
      </c>
      <c r="AB9" s="409" t="str">
        <f>INDEX(Table!F:F,MATCH(AA9,Table!$B:$B,0))</f>
        <v>Steve Carter</v>
      </c>
      <c r="AC9" s="410">
        <f>INDEX(Table!I:I,MATCH(AA9,Table!$B:$B,0))</f>
        <v>0.59698863636364496</v>
      </c>
      <c r="AD9" s="411" t="s">
        <v>239</v>
      </c>
      <c r="AE9" s="464" t="str">
        <f>INDEX(Table!$F:$F,MATCH(AD9,Table!$B:$B,0))</f>
        <v>Chris Luck</v>
      </c>
      <c r="AF9" s="410">
        <f>INDEX(Table!$I:$I,MATCH(AD9,Table!$B:$B,0))</f>
        <v>-16.044926035502968</v>
      </c>
      <c r="AG9" s="411" t="s">
        <v>244</v>
      </c>
      <c r="AH9" s="464" t="str">
        <f>INDEX(Table!$F:$F,MATCH(AG9,Table!$B:$B,0))</f>
        <v>Tom Robinson</v>
      </c>
      <c r="AI9" s="410">
        <f>INDEX(Table!$I:$I,MATCH(AG9,Table!$B:$B,0))</f>
        <v>-4.710988095238096</v>
      </c>
      <c r="AJ9" s="411" t="s">
        <v>246</v>
      </c>
      <c r="AK9" s="464" t="e">
        <f>INDEX(Table!$F:$F,MATCH(AJ9,Table!$B:$B,0))</f>
        <v>#N/A</v>
      </c>
      <c r="AL9" s="410" t="e">
        <f>INDEX(Table!$I:$I,MATCH(AJ9,Table!$B:$B,0))</f>
        <v>#N/A</v>
      </c>
      <c r="AM9" s="76"/>
      <c r="AN9" s="620" t="str">
        <f t="shared" si="3"/>
        <v>Steve Carter</v>
      </c>
      <c r="AO9" s="620" t="str">
        <f t="shared" si="0"/>
        <v>Chris Luck</v>
      </c>
      <c r="AP9" s="620" t="str">
        <f t="shared" si="1"/>
        <v>Tom Robinson</v>
      </c>
      <c r="AQ9" s="620" t="e">
        <f t="shared" si="2"/>
        <v>#N/A</v>
      </c>
      <c r="AR9" s="76"/>
      <c r="AS9" s="76"/>
      <c r="AT9" s="76"/>
      <c r="AU9" s="76"/>
      <c r="AV9" s="76"/>
      <c r="AW9" s="76"/>
    </row>
    <row r="10" spans="1:49" ht="18" customHeight="1" thickBot="1">
      <c r="A10" s="8" t="s">
        <v>310</v>
      </c>
      <c r="B10" s="694"/>
      <c r="C10" s="227">
        <v>6</v>
      </c>
      <c r="D10" s="306">
        <f>INDEX(Table!I:I,MATCH($A10,Table!$B:$B,0))</f>
        <v>-11.575036075036074</v>
      </c>
      <c r="E10" s="307">
        <f>INDEX(Table!J:J,MATCH($A10,Table!$B:$B,0))</f>
        <v>19</v>
      </c>
      <c r="F10" s="308" t="str">
        <f>INDEX(Table!F:F,MATCH($A10,Table!$B:$B,0))</f>
        <v>Mark Saunders</v>
      </c>
      <c r="G10" s="306">
        <f>INDEX(Table!K:K,MATCH($A10,Table!$B:$B,0))</f>
        <v>-4.7</v>
      </c>
      <c r="H10" s="307">
        <f>INDEX(Table!L:L,MATCH($A10,Table!$B:$B,0))</f>
        <v>1</v>
      </c>
      <c r="I10" s="589"/>
      <c r="J10" s="589">
        <v>6</v>
      </c>
      <c r="K10" s="228"/>
      <c r="L10" s="696" t="str">
        <f>INDEX(Weekly!E:E,MATCH($J10,Weekly!$B:$B,0))</f>
        <v>Paul Barnes</v>
      </c>
      <c r="M10" s="697"/>
      <c r="N10" s="526">
        <f>INDEX(Weekly!A:A,MATCH($L10,Weekly!$E:$E,0))</f>
        <v>22</v>
      </c>
      <c r="O10" s="644" t="str">
        <f>INDEX(Weekly!D:D,MATCH($L10,Weekly!$E:$E,0))</f>
        <v>C</v>
      </c>
      <c r="P10" s="644">
        <f>INDEX(Table!D:D,MATCH($L10,Table!$F:$F,0))</f>
        <v>9</v>
      </c>
      <c r="Q10" s="530">
        <f>INDEX(Weekly!F:F,MATCH($L10,Weekly!$E:$E,0))</f>
        <v>-24.773811188811187</v>
      </c>
      <c r="R10" s="537">
        <f>INDEX(Weekly!I:I,MATCH($L10,Weekly!$E:$E,0))</f>
        <v>2</v>
      </c>
      <c r="S10" s="367">
        <f>INDEX(Weekly!H:H,MATCH($L10,Weekly!$E:$E,0))</f>
        <v>7.5</v>
      </c>
      <c r="T10" s="76"/>
      <c r="U10" s="76">
        <v>6</v>
      </c>
      <c r="V10" s="76"/>
      <c r="W10" s="76"/>
      <c r="X10" s="76"/>
      <c r="Y10" s="76"/>
      <c r="Z10" s="76"/>
      <c r="AA10" s="407" t="s">
        <v>310</v>
      </c>
      <c r="AB10" s="412" t="str">
        <f>INDEX(Table!F:F,MATCH(AA10,Table!$B:$B,0))</f>
        <v>Mark Saunders</v>
      </c>
      <c r="AC10" s="413">
        <f>INDEX(Table!I:I,MATCH(AA10,Table!$B:$B,0))</f>
        <v>-11.575036075036074</v>
      </c>
      <c r="AD10" s="414" t="s">
        <v>311</v>
      </c>
      <c r="AE10" s="465" t="str">
        <f>INDEX(Table!$F:$F,MATCH(AD10,Table!$B:$B,0))</f>
        <v>Chris Griffin</v>
      </c>
      <c r="AF10" s="413">
        <f>INDEX(Table!$I:$I,MATCH(AD10,Table!$B:$B,0))</f>
        <v>-16.614753246753246</v>
      </c>
      <c r="AG10" s="414" t="s">
        <v>312</v>
      </c>
      <c r="AH10" s="465" t="str">
        <f>INDEX(Table!$F:$F,MATCH(AG10,Table!$B:$B,0))</f>
        <v>Vinny Topping</v>
      </c>
      <c r="AI10" s="413">
        <f>INDEX(Table!$I:$I,MATCH(AG10,Table!$B:$B,0))</f>
        <v>-12.740821678321671</v>
      </c>
      <c r="AJ10" s="414" t="s">
        <v>313</v>
      </c>
      <c r="AK10" s="465" t="e">
        <f>INDEX(Table!$F:$F,MATCH(AJ10,Table!$B:$B,0))</f>
        <v>#N/A</v>
      </c>
      <c r="AL10" s="413" t="e">
        <f>INDEX(Table!$I:$I,MATCH(AJ10,Table!$B:$B,0))</f>
        <v>#N/A</v>
      </c>
      <c r="AM10" s="76"/>
      <c r="AN10" s="620" t="str">
        <f t="shared" si="3"/>
        <v>Mark Saunders</v>
      </c>
      <c r="AO10" s="620" t="str">
        <f t="shared" si="0"/>
        <v>Chris Griffin</v>
      </c>
      <c r="AP10" s="620" t="str">
        <f t="shared" si="1"/>
        <v>Vinny Topping</v>
      </c>
      <c r="AQ10" s="620" t="e">
        <f t="shared" si="2"/>
        <v>#N/A</v>
      </c>
      <c r="AR10" s="76"/>
      <c r="AS10" s="76"/>
      <c r="AT10" s="76"/>
      <c r="AU10" s="76"/>
      <c r="AV10" s="76"/>
      <c r="AW10" s="76"/>
    </row>
    <row r="11" spans="1:49" ht="18" customHeight="1" thickTop="1">
      <c r="A11" s="8" t="s">
        <v>235</v>
      </c>
      <c r="B11" s="692" t="s">
        <v>219</v>
      </c>
      <c r="C11" s="227">
        <v>1</v>
      </c>
      <c r="D11" s="303">
        <f>INDEX(Table!I:I,MATCH($A11,Table!$B:$B,0))</f>
        <v>53.166000000000004</v>
      </c>
      <c r="E11" s="304">
        <f>INDEX(Table!J:J,MATCH($A11,Table!$B:$B,0))</f>
        <v>16</v>
      </c>
      <c r="F11" s="305" t="str">
        <f>INDEX(Table!F:F,MATCH($A11,Table!$B:$B,0))</f>
        <v>Alick Rocca</v>
      </c>
      <c r="G11" s="303">
        <f>INDEX(Table!K:K,MATCH($A11,Table!$B:$B,0))</f>
        <v>-5.35</v>
      </c>
      <c r="H11" s="304">
        <f>INDEX(Table!L:L,MATCH($A11,Table!$B:$B,0))</f>
        <v>1</v>
      </c>
      <c r="I11" s="589"/>
      <c r="J11" s="589">
        <v>7</v>
      </c>
      <c r="K11" s="228"/>
      <c r="L11" s="696" t="str">
        <f>INDEX(Weekly!E:E,MATCH($J11,Weekly!$B:$B,0))</f>
        <v>Mike Penk</v>
      </c>
      <c r="M11" s="697"/>
      <c r="N11" s="526">
        <f>INDEX(Weekly!A:A,MATCH($L11,Weekly!$E:$E,0))</f>
        <v>38</v>
      </c>
      <c r="O11" s="644" t="str">
        <f>INDEX(Weekly!D:D,MATCH($L11,Weekly!$E:$E,0))</f>
        <v>A</v>
      </c>
      <c r="P11" s="644">
        <f>INDEX(Table!D:D,MATCH($L11,Table!$F:$F,0))</f>
        <v>14</v>
      </c>
      <c r="Q11" s="530">
        <f>INDEX(Weekly!F:F,MATCH($L11,Weekly!$E:$E,0))</f>
        <v>-52.295546536796536</v>
      </c>
      <c r="R11" s="537">
        <f>INDEX(Weekly!I:I,MATCH($L11,Weekly!$E:$E,0))</f>
        <v>2</v>
      </c>
      <c r="S11" s="367">
        <f>INDEX(Weekly!H:H,MATCH($L11,Weekly!$E:$E,0))</f>
        <v>2.125</v>
      </c>
      <c r="T11" s="76"/>
      <c r="U11" s="76">
        <v>7</v>
      </c>
      <c r="V11" s="76"/>
      <c r="W11" s="76"/>
      <c r="X11" s="76"/>
      <c r="Y11" s="76"/>
      <c r="Z11" s="76"/>
      <c r="AA11" s="408" t="s">
        <v>377</v>
      </c>
      <c r="AB11" s="415" t="str">
        <f>INDEX(Table!F:F,MATCH(AA11,Table!$B:$B,0))</f>
        <v>Jack Walsh</v>
      </c>
      <c r="AC11" s="417">
        <f>INDEX(Table!I:I,MATCH(AA11,Table!$B:$B,0))</f>
        <v>-27.178156565656561</v>
      </c>
      <c r="AD11" s="418" t="s">
        <v>386</v>
      </c>
      <c r="AE11" s="485" t="str">
        <f>INDEX(Table!$F:$F,MATCH(AD11,Table!$B:$B,0))</f>
        <v>Alan Bond</v>
      </c>
      <c r="AF11" s="475">
        <f>INDEX(Table!$I:$I,MATCH(AD11,Table!$B:$B,0))</f>
        <v>-23.145454545454541</v>
      </c>
      <c r="AG11" s="476" t="s">
        <v>396</v>
      </c>
      <c r="AH11" s="489" t="str">
        <f>INDEX(Table!$F:$F,MATCH(AG11,Table!$B:$B,0))</f>
        <v>Alan White</v>
      </c>
      <c r="AI11" s="475">
        <f>INDEX(Table!$I:$I,MATCH(AG11,Table!$B:$B,0))</f>
        <v>-13.014666375291375</v>
      </c>
      <c r="AJ11" s="476" t="s">
        <v>406</v>
      </c>
      <c r="AK11" s="492" t="e">
        <f>INDEX(Table!$F:$F,MATCH(AJ11,Table!$B:$B,0))</f>
        <v>#N/A</v>
      </c>
      <c r="AL11" s="417" t="e">
        <f>INDEX(Table!$I:$I,MATCH(AJ11,Table!$B:$B,0))</f>
        <v>#N/A</v>
      </c>
      <c r="AM11" s="76"/>
      <c r="AN11" s="620" t="str">
        <f t="shared" si="3"/>
        <v>Jack Walsh</v>
      </c>
      <c r="AO11" s="620" t="str">
        <f t="shared" si="0"/>
        <v>Alan Bond</v>
      </c>
      <c r="AP11" s="620" t="str">
        <f t="shared" si="1"/>
        <v>Alan White</v>
      </c>
      <c r="AQ11" s="620" t="e">
        <f t="shared" si="2"/>
        <v>#N/A</v>
      </c>
      <c r="AR11" s="76"/>
      <c r="AS11" s="76"/>
      <c r="AT11" s="76"/>
      <c r="AU11" s="76"/>
      <c r="AV11" s="76"/>
      <c r="AW11" s="76"/>
    </row>
    <row r="12" spans="1:49" ht="18" customHeight="1">
      <c r="A12" s="8" t="s">
        <v>236</v>
      </c>
      <c r="B12" s="693"/>
      <c r="C12" s="227">
        <v>2</v>
      </c>
      <c r="D12" s="302">
        <f>INDEX(Table!I:I,MATCH($A12,Table!$B:$B,0))</f>
        <v>16.780674242424247</v>
      </c>
      <c r="E12" s="137">
        <f>INDEX(Table!J:J,MATCH($A12,Table!$B:$B,0))</f>
        <v>19</v>
      </c>
      <c r="F12" s="138" t="str">
        <f>INDEX(Table!F:F,MATCH($A12,Table!$B:$B,0))</f>
        <v>Andy White</v>
      </c>
      <c r="G12" s="302">
        <f>INDEX(Table!K:K,MATCH($A12,Table!$B:$B,0))</f>
        <v>0.83500000000000085</v>
      </c>
      <c r="H12" s="137">
        <f>INDEX(Table!L:L,MATCH($A12,Table!$B:$B,0))</f>
        <v>2</v>
      </c>
      <c r="I12" s="589"/>
      <c r="J12" s="589">
        <v>8</v>
      </c>
      <c r="K12" s="228"/>
      <c r="L12" s="696" t="str">
        <f>INDEX(Weekly!E:E,MATCH($J12,Weekly!$B:$B,0))</f>
        <v>Stephen Barr</v>
      </c>
      <c r="M12" s="697"/>
      <c r="N12" s="526">
        <f>INDEX(Weekly!A:A,MATCH($L12,Weekly!$E:$E,0))</f>
        <v>27</v>
      </c>
      <c r="O12" s="644" t="str">
        <f>INDEX(Weekly!D:D,MATCH($L12,Weekly!$E:$E,0))</f>
        <v>A</v>
      </c>
      <c r="P12" s="644">
        <f>INDEX(Table!D:D,MATCH($L12,Table!$F:$F,0))</f>
        <v>9</v>
      </c>
      <c r="Q12" s="530">
        <f>INDEX(Weekly!F:F,MATCH($L12,Weekly!$E:$E,0))</f>
        <v>-31.952575757575758</v>
      </c>
      <c r="R12" s="537">
        <f>INDEX(Weekly!I:I,MATCH($L12,Weekly!$E:$E,0))</f>
        <v>2</v>
      </c>
      <c r="S12" s="367">
        <f>INDEX(Weekly!H:H,MATCH($L12,Weekly!$E:$E,0))</f>
        <v>1.6187500000000004</v>
      </c>
      <c r="T12" s="76"/>
      <c r="U12" s="76">
        <v>8</v>
      </c>
      <c r="V12" s="76"/>
      <c r="W12" s="76"/>
      <c r="X12" s="76"/>
      <c r="Y12" s="76"/>
      <c r="Z12" s="76"/>
      <c r="AA12" s="406" t="s">
        <v>378</v>
      </c>
      <c r="AB12" s="416" t="str">
        <f>INDEX(Table!F:F,MATCH(AA12,Table!$B:$B,0))</f>
        <v>Martin Molyneux</v>
      </c>
      <c r="AC12" s="420">
        <f>INDEX(Table!I:I,MATCH(AA12,Table!$B:$B,0))</f>
        <v>-28.426616161616163</v>
      </c>
      <c r="AD12" s="421" t="s">
        <v>387</v>
      </c>
      <c r="AE12" s="486" t="str">
        <f>INDEX(Table!$F:$F,MATCH(AD12,Table!$B:$B,0))</f>
        <v>Pete Baron</v>
      </c>
      <c r="AF12" s="478">
        <f>INDEX(Table!$I:$I,MATCH(AD12,Table!$B:$B,0))</f>
        <v>-27.917812937062934</v>
      </c>
      <c r="AG12" s="479" t="s">
        <v>397</v>
      </c>
      <c r="AH12" s="487" t="str">
        <f>INDEX(Table!$F:$F,MATCH(AG12,Table!$B:$B,0))</f>
        <v>Martin Tarbuck</v>
      </c>
      <c r="AI12" s="478">
        <f>INDEX(Table!$I:$I,MATCH(AG12,Table!$B:$B,0))</f>
        <v>-20.856522727272729</v>
      </c>
      <c r="AJ12" s="479" t="s">
        <v>407</v>
      </c>
      <c r="AK12" s="490" t="e">
        <f>INDEX(Table!$F:$F,MATCH(AJ12,Table!$B:$B,0))</f>
        <v>#N/A</v>
      </c>
      <c r="AL12" s="420" t="e">
        <f>INDEX(Table!$I:$I,MATCH(AJ12,Table!$B:$B,0))</f>
        <v>#N/A</v>
      </c>
      <c r="AM12" s="76"/>
      <c r="AN12" s="620" t="str">
        <f t="shared" si="3"/>
        <v>Martin Molyneux</v>
      </c>
      <c r="AO12" s="620" t="str">
        <f t="shared" si="0"/>
        <v>Pete Baron</v>
      </c>
      <c r="AP12" s="620" t="str">
        <f t="shared" si="1"/>
        <v>Martin Tarbuck</v>
      </c>
      <c r="AQ12" s="620" t="e">
        <f t="shared" si="2"/>
        <v>#N/A</v>
      </c>
      <c r="AR12" s="76"/>
      <c r="AS12" s="76"/>
      <c r="AT12" s="76"/>
      <c r="AU12" s="76"/>
      <c r="AV12" s="76"/>
      <c r="AW12" s="76"/>
    </row>
    <row r="13" spans="1:49" ht="18" customHeight="1">
      <c r="A13" s="8" t="s">
        <v>237</v>
      </c>
      <c r="B13" s="693"/>
      <c r="C13" s="227">
        <v>3</v>
      </c>
      <c r="D13" s="302">
        <f>INDEX(Table!I:I,MATCH($A13,Table!$B:$B,0))</f>
        <v>1.6646320346320316</v>
      </c>
      <c r="E13" s="137">
        <f>INDEX(Table!J:J,MATCH($A13,Table!$B:$B,0))</f>
        <v>26</v>
      </c>
      <c r="F13" s="138" t="str">
        <f>INDEX(Table!F:F,MATCH($A13,Table!$B:$B,0))</f>
        <v>Barry Birchall</v>
      </c>
      <c r="G13" s="302">
        <f>INDEX(Table!K:K,MATCH($A13,Table!$B:$B,0))</f>
        <v>-1.375</v>
      </c>
      <c r="H13" s="137">
        <f>INDEX(Table!L:L,MATCH($A13,Table!$B:$B,0))</f>
        <v>2</v>
      </c>
      <c r="I13" s="589"/>
      <c r="J13" s="589">
        <v>9</v>
      </c>
      <c r="K13" s="228"/>
      <c r="L13" s="696" t="str">
        <f>INDEX(Weekly!E:E,MATCH($J13,Weekly!$B:$B,0))</f>
        <v>Andy White</v>
      </c>
      <c r="M13" s="697"/>
      <c r="N13" s="526">
        <f>INDEX(Weekly!A:A,MATCH($L13,Weekly!$E:$E,0))</f>
        <v>7</v>
      </c>
      <c r="O13" s="644" t="str">
        <f>INDEX(Weekly!D:D,MATCH($L13,Weekly!$E:$E,0))</f>
        <v>B</v>
      </c>
      <c r="P13" s="644">
        <f>INDEX(Table!D:D,MATCH($L13,Table!$F:$F,0))</f>
        <v>2</v>
      </c>
      <c r="Q13" s="530">
        <f>INDEX(Weekly!F:F,MATCH($L13,Weekly!$E:$E,0))</f>
        <v>16.780674242424247</v>
      </c>
      <c r="R13" s="537">
        <f>INDEX(Weekly!I:I,MATCH($L13,Weekly!$E:$E,0))</f>
        <v>2</v>
      </c>
      <c r="S13" s="367">
        <f>INDEX(Weekly!H:H,MATCH($L13,Weekly!$E:$E,0))</f>
        <v>0.83500000000000085</v>
      </c>
      <c r="T13" s="76"/>
      <c r="U13" s="76">
        <v>9</v>
      </c>
      <c r="V13" s="76"/>
      <c r="W13" s="76"/>
      <c r="X13" s="76"/>
      <c r="Y13" s="76"/>
      <c r="Z13" s="76"/>
      <c r="AA13" s="406" t="s">
        <v>413</v>
      </c>
      <c r="AB13" s="483" t="str">
        <f>INDEX(Table!F:F,MATCH(AA13,Table!$B:$B,0))</f>
        <v>Stephen Barr</v>
      </c>
      <c r="AC13" s="478">
        <f>INDEX(Table!I:I,MATCH(AA13,Table!$B:$B,0))</f>
        <v>-31.952575757575758</v>
      </c>
      <c r="AD13" s="479" t="s">
        <v>388</v>
      </c>
      <c r="AE13" s="487" t="str">
        <f>INDEX(Table!$F:$F,MATCH(AD13,Table!$B:$B,0))</f>
        <v>Alan Rogers</v>
      </c>
      <c r="AF13" s="478">
        <f>INDEX(Table!$I:$I,MATCH(AD13,Table!$B:$B,0))</f>
        <v>-29.552954545454547</v>
      </c>
      <c r="AG13" s="479" t="s">
        <v>398</v>
      </c>
      <c r="AH13" s="490" t="str">
        <f>INDEX(Table!$F:$F,MATCH(AG13,Table!$B:$B,0))</f>
        <v>Paul Barnes</v>
      </c>
      <c r="AI13" s="478">
        <f>INDEX(Table!$I:$I,MATCH(AG13,Table!$B:$B,0))</f>
        <v>-24.773811188811187</v>
      </c>
      <c r="AJ13" s="479" t="s">
        <v>408</v>
      </c>
      <c r="AK13" s="477" t="e">
        <f>INDEX(Table!$F:$F,MATCH(AJ13,Table!$B:$B,0))</f>
        <v>#N/A</v>
      </c>
      <c r="AL13" s="478" t="e">
        <f>INDEX(Table!$I:$I,MATCH(AJ13,Table!$B:$B,0))</f>
        <v>#N/A</v>
      </c>
      <c r="AM13" s="76"/>
      <c r="AN13" s="620" t="str">
        <f t="shared" si="3"/>
        <v>Stephen Barr</v>
      </c>
      <c r="AO13" s="620" t="str">
        <f t="shared" si="0"/>
        <v>Alan Rogers</v>
      </c>
      <c r="AP13" s="620" t="str">
        <f t="shared" si="1"/>
        <v>Paul Barnes</v>
      </c>
      <c r="AQ13" s="620" t="e">
        <f t="shared" si="2"/>
        <v>#N/A</v>
      </c>
      <c r="AR13" s="76"/>
      <c r="AS13" s="76"/>
      <c r="AT13" s="76"/>
      <c r="AU13" s="76"/>
      <c r="AV13" s="76"/>
      <c r="AW13" s="76"/>
    </row>
    <row r="14" spans="1:49" ht="18" customHeight="1" thickBot="1">
      <c r="A14" s="8" t="s">
        <v>238</v>
      </c>
      <c r="B14" s="693"/>
      <c r="C14" s="227">
        <v>4</v>
      </c>
      <c r="D14" s="302">
        <f>INDEX(Table!I:I,MATCH($A14,Table!$B:$B,0))</f>
        <v>-8.5657750068861187</v>
      </c>
      <c r="E14" s="137">
        <f>INDEX(Table!J:J,MATCH($A14,Table!$B:$B,0))</f>
        <v>24</v>
      </c>
      <c r="F14" s="138" t="str">
        <f>INDEX(Table!F:F,MATCH($A14,Table!$B:$B,0))</f>
        <v>Graham Miller</v>
      </c>
      <c r="G14" s="302">
        <f>INDEX(Table!K:K,MATCH($A14,Table!$B:$B,0))</f>
        <v>0.83500000000000085</v>
      </c>
      <c r="H14" s="137">
        <f>INDEX(Table!L:L,MATCH($A14,Table!$B:$B,0))</f>
        <v>2</v>
      </c>
      <c r="I14" s="589"/>
      <c r="J14" s="589">
        <v>10</v>
      </c>
      <c r="K14" s="228"/>
      <c r="L14" s="696" t="s">
        <v>276</v>
      </c>
      <c r="M14" s="697"/>
      <c r="N14" s="526">
        <f>INDEX(Weekly!A:A,MATCH($L14,Weekly!$E:$E,0))</f>
        <v>14</v>
      </c>
      <c r="O14" s="644" t="str">
        <f>INDEX(Weekly!D:D,MATCH($L14,Weekly!$E:$E,0))</f>
        <v>B</v>
      </c>
      <c r="P14" s="644">
        <f>INDEX(Table!D:D,MATCH($L14,Table!$F:$F,0))</f>
        <v>4</v>
      </c>
      <c r="Q14" s="530">
        <f>INDEX(Weekly!F:F,MATCH($L14,Weekly!$E:$E,0))</f>
        <v>-8.5657750068861187</v>
      </c>
      <c r="R14" s="537">
        <f>INDEX(Weekly!I:I,MATCH($L14,Weekly!$E:$E,0))</f>
        <v>2</v>
      </c>
      <c r="S14" s="367">
        <f>INDEX(Weekly!H:H,MATCH($L14,Weekly!$E:$E,0))</f>
        <v>0.83500000000000085</v>
      </c>
      <c r="T14" s="76"/>
      <c r="U14" s="76">
        <v>10</v>
      </c>
      <c r="V14" s="76"/>
      <c r="W14" s="76"/>
      <c r="X14" s="76"/>
      <c r="Y14" s="76"/>
      <c r="Z14" s="76"/>
      <c r="AA14" s="407" t="s">
        <v>379</v>
      </c>
      <c r="AB14" s="484" t="str">
        <f>INDEX(Table!F:F,MATCH(AA14,Table!$B:$B,0))</f>
        <v>Lennie Bow</v>
      </c>
      <c r="AC14" s="480">
        <f>INDEX(Table!I:I,MATCH(AA14,Table!$B:$B,0))</f>
        <v>-35.295038850038857</v>
      </c>
      <c r="AD14" s="481" t="s">
        <v>389</v>
      </c>
      <c r="AE14" s="488" t="str">
        <f>INDEX(Table!$F:$F,MATCH(AD14,Table!$B:$B,0))</f>
        <v>Phil Miller</v>
      </c>
      <c r="AF14" s="480">
        <f>INDEX(Table!$I:$I,MATCH(AD14,Table!$B:$B,0))</f>
        <v>-32.587728332273784</v>
      </c>
      <c r="AG14" s="481" t="s">
        <v>399</v>
      </c>
      <c r="AH14" s="491" t="str">
        <f>INDEX(Table!$F:$F,MATCH(AG14,Table!$B:$B,0))</f>
        <v>Simon Greenhalgh</v>
      </c>
      <c r="AI14" s="480">
        <f>INDEX(Table!$I:$I,MATCH(AG14,Table!$B:$B,0))</f>
        <v>-40.105454545454542</v>
      </c>
      <c r="AJ14" s="481" t="s">
        <v>409</v>
      </c>
      <c r="AK14" s="482" t="e">
        <f>INDEX(Table!$F:$F,MATCH(AJ14,Table!$B:$B,0))</f>
        <v>#N/A</v>
      </c>
      <c r="AL14" s="480" t="e">
        <f>INDEX(Table!$I:$I,MATCH(AJ14,Table!$B:$B,0))</f>
        <v>#N/A</v>
      </c>
      <c r="AM14" s="76"/>
      <c r="AN14" s="620" t="str">
        <f t="shared" si="3"/>
        <v>Lennie Bow</v>
      </c>
      <c r="AO14" s="620" t="str">
        <f t="shared" si="0"/>
        <v>Phil Miller</v>
      </c>
      <c r="AP14" s="620" t="str">
        <f t="shared" si="1"/>
        <v>Simon Greenhalgh</v>
      </c>
      <c r="AQ14" s="620" t="e">
        <f t="shared" si="2"/>
        <v>#N/A</v>
      </c>
      <c r="AR14" s="76"/>
      <c r="AS14" s="76"/>
      <c r="AT14" s="76"/>
      <c r="AU14" s="76"/>
      <c r="AV14" s="76"/>
      <c r="AW14" s="76"/>
    </row>
    <row r="15" spans="1:49" ht="18" customHeight="1" thickTop="1">
      <c r="A15" s="8" t="s">
        <v>239</v>
      </c>
      <c r="B15" s="693"/>
      <c r="C15" s="227">
        <v>5</v>
      </c>
      <c r="D15" s="302">
        <f>INDEX(Table!I:I,MATCH($A15,Table!$B:$B,0))</f>
        <v>-16.044926035502968</v>
      </c>
      <c r="E15" s="137">
        <f>INDEX(Table!J:J,MATCH($A15,Table!$B:$B,0))</f>
        <v>18</v>
      </c>
      <c r="F15" s="138" t="str">
        <f>INDEX(Table!F:F,MATCH($A15,Table!$B:$B,0))</f>
        <v>Chris Luck</v>
      </c>
      <c r="G15" s="302">
        <f>INDEX(Table!K:K,MATCH($A15,Table!$B:$B,0))</f>
        <v>-4.9000000000000004</v>
      </c>
      <c r="H15" s="137">
        <f>INDEX(Table!L:L,MATCH($A15,Table!$B:$B,0))</f>
        <v>1</v>
      </c>
      <c r="I15" s="589"/>
      <c r="J15" s="589">
        <v>11</v>
      </c>
      <c r="K15" s="228"/>
      <c r="L15" s="696" t="s">
        <v>274</v>
      </c>
      <c r="M15" s="697"/>
      <c r="N15" s="526">
        <f>INDEX(Weekly!A:A,MATCH($L15,Weekly!$E:$E,0))</f>
        <v>12</v>
      </c>
      <c r="O15" s="644" t="str">
        <f>INDEX(Weekly!D:D,MATCH($L15,Weekly!$E:$E,0))</f>
        <v>A</v>
      </c>
      <c r="P15" s="644">
        <f>INDEX(Table!D:D,MATCH($L15,Table!$F:$F,0))</f>
        <v>5</v>
      </c>
      <c r="Q15" s="530">
        <f>INDEX(Weekly!F:F,MATCH($L15,Weekly!$E:$E,0))</f>
        <v>0.59698863636364496</v>
      </c>
      <c r="R15" s="537">
        <f>INDEX(Weekly!I:I,MATCH($L15,Weekly!$E:$E,0))</f>
        <v>2</v>
      </c>
      <c r="S15" s="367">
        <f>INDEX(Weekly!H:H,MATCH($L15,Weekly!$E:$E,0))</f>
        <v>0.83500000000000085</v>
      </c>
      <c r="T15" s="76"/>
      <c r="U15" s="76">
        <v>11</v>
      </c>
      <c r="V15" s="76"/>
      <c r="W15" s="76"/>
      <c r="X15" s="76"/>
      <c r="Y15" s="76"/>
      <c r="Z15" s="76"/>
      <c r="AA15" s="408" t="s">
        <v>380</v>
      </c>
      <c r="AB15" s="468" t="str">
        <f>INDEX(Table!F:F,MATCH(AA15,Table!$B:$B,0))</f>
        <v>Mo Sudell</v>
      </c>
      <c r="AC15" s="417">
        <f>INDEX(Table!I:I,MATCH(AA15,Table!$B:$B,0))</f>
        <v>-41.493300865800869</v>
      </c>
      <c r="AD15" s="418" t="s">
        <v>390</v>
      </c>
      <c r="AE15" s="466" t="str">
        <f>INDEX(Table!$F:$F,MATCH(AD15,Table!$B:$B,0))</f>
        <v>Alfie Davies</v>
      </c>
      <c r="AF15" s="417">
        <f>INDEX(Table!$I:$I,MATCH(AD15,Table!$B:$B,0))</f>
        <v>-37.09031385281385</v>
      </c>
      <c r="AG15" s="418" t="s">
        <v>400</v>
      </c>
      <c r="AH15" s="466" t="str">
        <f>INDEX(Table!$F:$F,MATCH(AG15,Table!$B:$B,0))</f>
        <v>Charlie Griffiths</v>
      </c>
      <c r="AI15" s="417">
        <f>INDEX(Table!$I:$I,MATCH(AG15,Table!$B:$B,0))</f>
        <v>-46.640795454545454</v>
      </c>
      <c r="AJ15" s="418" t="s">
        <v>410</v>
      </c>
      <c r="AK15" s="419" t="e">
        <f>INDEX(Table!$F:$F,MATCH(AJ15,Table!$B:$B,0))</f>
        <v>#N/A</v>
      </c>
      <c r="AL15" s="417" t="e">
        <f>INDEX(Table!$I:$I,MATCH(AJ15,Table!$B:$B,0))</f>
        <v>#N/A</v>
      </c>
      <c r="AM15" s="76"/>
      <c r="AN15" s="620" t="str">
        <f t="shared" si="3"/>
        <v>Mo Sudell</v>
      </c>
      <c r="AO15" s="620" t="str">
        <f t="shared" si="0"/>
        <v>Alfie Davies</v>
      </c>
      <c r="AP15" s="620" t="str">
        <f t="shared" si="1"/>
        <v>Charlie Griffiths</v>
      </c>
      <c r="AQ15" s="620" t="e">
        <f t="shared" si="2"/>
        <v>#N/A</v>
      </c>
      <c r="AR15" s="76"/>
      <c r="AS15" s="76"/>
      <c r="AT15" s="76"/>
      <c r="AU15" s="76"/>
      <c r="AV15" s="76"/>
      <c r="AW15" s="76"/>
    </row>
    <row r="16" spans="1:49" ht="18" customHeight="1" thickBot="1">
      <c r="A16" s="8" t="s">
        <v>311</v>
      </c>
      <c r="B16" s="694"/>
      <c r="C16" s="227">
        <v>6</v>
      </c>
      <c r="D16" s="306">
        <f>INDEX(Table!I:I,MATCH($A16,Table!$B:$B,0))</f>
        <v>-16.614753246753246</v>
      </c>
      <c r="E16" s="307">
        <f>INDEX(Table!J:J,MATCH($A16,Table!$B:$B,0))</f>
        <v>23</v>
      </c>
      <c r="F16" s="308" t="str">
        <f>INDEX(Table!F:F,MATCH($A16,Table!$B:$B,0))</f>
        <v>Chris Griffin</v>
      </c>
      <c r="G16" s="306">
        <f>INDEX(Table!K:K,MATCH($A16,Table!$B:$B,0))</f>
        <v>0.54999999999999982</v>
      </c>
      <c r="H16" s="307">
        <f>INDEX(Table!L:L,MATCH($A16,Table!$B:$B,0))</f>
        <v>2</v>
      </c>
      <c r="I16" s="589"/>
      <c r="J16" s="669">
        <v>12</v>
      </c>
      <c r="K16" s="228"/>
      <c r="L16" s="696" t="str">
        <f>INDEX(Weekly!E:E,MATCH($J16,Weekly!$B:$B,0))</f>
        <v>Chris Griffin</v>
      </c>
      <c r="M16" s="697"/>
      <c r="N16" s="529">
        <f>INDEX(Weekly!A:A,MATCH($L16,Weekly!$E:$E,0))</f>
        <v>19</v>
      </c>
      <c r="O16" s="647" t="str">
        <f>INDEX(Weekly!D:D,MATCH($L16,Weekly!$E:$E,0))</f>
        <v>B</v>
      </c>
      <c r="P16" s="647">
        <f>INDEX(Table!D:D,MATCH($L16,Table!$F:$F,0))</f>
        <v>6</v>
      </c>
      <c r="Q16" s="533">
        <f>INDEX(Weekly!F:F,MATCH($L16,Weekly!$E:$E,0))</f>
        <v>-16.614753246753246</v>
      </c>
      <c r="R16" s="538">
        <f>INDEX(Weekly!I:I,MATCH($L16,Weekly!$E:$E,0))</f>
        <v>2</v>
      </c>
      <c r="S16" s="367">
        <f>INDEX(Weekly!H:H,MATCH($L16,Weekly!$E:$E,0))</f>
        <v>0.54999999999999982</v>
      </c>
      <c r="T16" s="76"/>
      <c r="U16" s="76">
        <v>12</v>
      </c>
      <c r="V16" s="76"/>
      <c r="W16" s="76"/>
      <c r="X16" s="76"/>
      <c r="Y16" s="76"/>
      <c r="Z16" s="76"/>
      <c r="AA16" s="406" t="s">
        <v>381</v>
      </c>
      <c r="AB16" s="469" t="str">
        <f>INDEX(Table!F:F,MATCH(AA16,Table!$B:$B,0))</f>
        <v>Mark Bunn</v>
      </c>
      <c r="AC16" s="420">
        <f>INDEX(Table!I:I,MATCH(AA16,Table!$B:$B,0))</f>
        <v>-44.275576923076926</v>
      </c>
      <c r="AD16" s="421" t="s">
        <v>391</v>
      </c>
      <c r="AE16" s="467" t="str">
        <f>INDEX(Table!$F:$F,MATCH(AD16,Table!$B:$B,0))</f>
        <v>Paul Adderley</v>
      </c>
      <c r="AF16" s="420">
        <f>INDEX(Table!$I:$I,MATCH(AD16,Table!$B:$B,0))</f>
        <v>-47.870006475006477</v>
      </c>
      <c r="AG16" s="421" t="s">
        <v>401</v>
      </c>
      <c r="AH16" s="467" t="str">
        <f>INDEX(Table!$F:$F,MATCH(AG16,Table!$B:$B,0))</f>
        <v>Nick Blocksidge</v>
      </c>
      <c r="AI16" s="420">
        <f>INDEX(Table!$I:$I,MATCH(AG16,Table!$B:$B,0))</f>
        <v>-55.288611111111109</v>
      </c>
      <c r="AJ16" s="421" t="s">
        <v>411</v>
      </c>
      <c r="AK16" s="422" t="e">
        <f>INDEX(Table!$F:$F,MATCH(AJ16,Table!$B:$B,0))</f>
        <v>#N/A</v>
      </c>
      <c r="AL16" s="420" t="e">
        <f>INDEX(Table!$I:$I,MATCH(AJ16,Table!$B:$B,0))</f>
        <v>#N/A</v>
      </c>
      <c r="AM16" s="76"/>
      <c r="AN16" s="620" t="str">
        <f t="shared" si="3"/>
        <v>Mark Bunn</v>
      </c>
      <c r="AO16" s="620" t="str">
        <f t="shared" si="0"/>
        <v>Paul Adderley</v>
      </c>
      <c r="AP16" s="620" t="str">
        <f t="shared" si="1"/>
        <v>Nick Blocksidge</v>
      </c>
      <c r="AQ16" s="620" t="e">
        <f t="shared" si="2"/>
        <v>#N/A</v>
      </c>
      <c r="AR16" s="76"/>
      <c r="AS16" s="76"/>
      <c r="AT16" s="76"/>
      <c r="AU16" s="76"/>
      <c r="AV16" s="76"/>
      <c r="AW16" s="76"/>
    </row>
    <row r="17" spans="1:50" ht="18" customHeight="1" thickTop="1">
      <c r="A17" s="8" t="s">
        <v>240</v>
      </c>
      <c r="B17" s="692" t="s">
        <v>220</v>
      </c>
      <c r="C17" s="227">
        <v>1</v>
      </c>
      <c r="D17" s="303">
        <f>INDEX(Table!I:I,MATCH($A17,Table!$B:$B,0))</f>
        <v>54.895888888888877</v>
      </c>
      <c r="E17" s="304">
        <f>INDEX(Table!J:J,MATCH($A17,Table!$B:$B,0))</f>
        <v>27</v>
      </c>
      <c r="F17" s="305" t="str">
        <f>INDEX(Table!F:F,MATCH($A17,Table!$B:$B,0))</f>
        <v>David Dunn</v>
      </c>
      <c r="G17" s="303">
        <f>INDEX(Table!K:K,MATCH($A17,Table!$B:$B,0))</f>
        <v>-7</v>
      </c>
      <c r="H17" s="304">
        <f>INDEX(Table!L:L,MATCH($A17,Table!$B:$B,0))</f>
        <v>0</v>
      </c>
      <c r="I17" s="589"/>
      <c r="J17" s="589"/>
      <c r="K17" s="139"/>
      <c r="L17" s="139"/>
      <c r="M17" s="139"/>
      <c r="N17" s="139"/>
      <c r="O17" s="139"/>
      <c r="P17" s="139"/>
      <c r="Q17" s="139"/>
      <c r="R17" s="139"/>
      <c r="S17" s="139"/>
      <c r="T17" s="76"/>
      <c r="U17" s="76">
        <v>13</v>
      </c>
      <c r="V17" s="76"/>
      <c r="W17" s="76"/>
      <c r="X17" s="76"/>
      <c r="Y17" s="76"/>
      <c r="Z17" s="76"/>
      <c r="AA17" s="406" t="s">
        <v>382</v>
      </c>
      <c r="AB17" s="469" t="str">
        <f>INDEX(Table!F:F,MATCH(AA17,Table!$B:$B,0))</f>
        <v>Howard Bradley</v>
      </c>
      <c r="AC17" s="420">
        <f>INDEX(Table!I:I,MATCH(AA17,Table!$B:$B,0))</f>
        <v>-49.135627705627698</v>
      </c>
      <c r="AD17" s="421" t="s">
        <v>392</v>
      </c>
      <c r="AE17" s="467" t="str">
        <f>INDEX(Table!$F:$F,MATCH(AD17,Table!$B:$B,0))</f>
        <v>Alex Griffin</v>
      </c>
      <c r="AF17" s="420">
        <f>INDEX(Table!$I:$I,MATCH(AD17,Table!$B:$B,0))</f>
        <v>-51.350201187701181</v>
      </c>
      <c r="AG17" s="421" t="s">
        <v>402</v>
      </c>
      <c r="AH17" s="467" t="str">
        <f>INDEX(Table!$F:$F,MATCH(AG17,Table!$B:$B,0))</f>
        <v>Gareth Powell</v>
      </c>
      <c r="AI17" s="420">
        <f>INDEX(Table!$I:$I,MATCH(AG17,Table!$B:$B,0))</f>
        <v>-56.95</v>
      </c>
      <c r="AJ17" s="421" t="s">
        <v>412</v>
      </c>
      <c r="AK17" s="422" t="e">
        <f>INDEX(Table!$F:$F,MATCH(AJ17,Table!$B:$B,0))</f>
        <v>#N/A</v>
      </c>
      <c r="AL17" s="420" t="e">
        <f>INDEX(Table!$I:$I,MATCH(AJ17,Table!$B:$B,0))</f>
        <v>#N/A</v>
      </c>
      <c r="AM17" s="76"/>
      <c r="AN17" s="620" t="str">
        <f t="shared" si="3"/>
        <v>Howard Bradley</v>
      </c>
      <c r="AO17" s="620" t="str">
        <f t="shared" si="0"/>
        <v>Alex Griffin</v>
      </c>
      <c r="AP17" s="620" t="str">
        <f t="shared" si="1"/>
        <v>Gareth Powell</v>
      </c>
      <c r="AQ17" s="620" t="e">
        <f t="shared" si="2"/>
        <v>#N/A</v>
      </c>
      <c r="AR17" s="76"/>
      <c r="AS17" s="76"/>
      <c r="AT17" s="76"/>
      <c r="AU17" s="76"/>
      <c r="AV17" s="76"/>
      <c r="AW17" s="76"/>
    </row>
    <row r="18" spans="1:50" ht="18" customHeight="1">
      <c r="A18" s="8" t="s">
        <v>241</v>
      </c>
      <c r="B18" s="693"/>
      <c r="C18" s="227">
        <v>2</v>
      </c>
      <c r="D18" s="303">
        <f>INDEX(Table!I:I,MATCH($A18,Table!$B:$B,0))</f>
        <v>54.690757575757573</v>
      </c>
      <c r="E18" s="304">
        <f>INDEX(Table!J:J,MATCH($A18,Table!$B:$B,0))</f>
        <v>17</v>
      </c>
      <c r="F18" s="305" t="str">
        <f>INDEX(Table!F:F,MATCH($A18,Table!$B:$B,0))</f>
        <v>Ben Rosser</v>
      </c>
      <c r="G18" s="303">
        <f>INDEX(Table!K:K,MATCH($A18,Table!$B:$B,0))</f>
        <v>-7</v>
      </c>
      <c r="H18" s="304">
        <f>INDEX(Table!L:L,MATCH($A18,Table!$B:$B,0))</f>
        <v>0</v>
      </c>
      <c r="I18" s="139"/>
      <c r="J18" s="328"/>
      <c r="K18" s="432" t="s">
        <v>474</v>
      </c>
      <c r="L18" s="515"/>
      <c r="M18" s="691" t="s">
        <v>461</v>
      </c>
      <c r="N18" s="691"/>
      <c r="O18" s="691" t="s">
        <v>462</v>
      </c>
      <c r="P18" s="691"/>
      <c r="Q18" s="691"/>
      <c r="R18" s="517" t="s">
        <v>456</v>
      </c>
      <c r="S18" s="518" t="s">
        <v>457</v>
      </c>
      <c r="T18" s="76"/>
      <c r="U18" s="76">
        <v>14</v>
      </c>
      <c r="V18" s="76"/>
      <c r="W18" s="76"/>
      <c r="X18" s="76"/>
      <c r="Y18" s="76"/>
      <c r="Z18" s="76"/>
      <c r="AA18" s="406" t="s">
        <v>383</v>
      </c>
      <c r="AB18" s="469" t="str">
        <f>INDEX(Table!F:F,MATCH(AA18,Table!$B:$B,0))</f>
        <v>Mike Penk</v>
      </c>
      <c r="AC18" s="420">
        <f>INDEX(Table!I:I,MATCH(AA18,Table!$B:$B,0))</f>
        <v>-52.295546536796536</v>
      </c>
      <c r="AD18" s="421" t="s">
        <v>393</v>
      </c>
      <c r="AE18" s="467" t="str">
        <f>INDEX(Table!$F:$F,MATCH(AD18,Table!$B:$B,0))</f>
        <v>Chris Bow</v>
      </c>
      <c r="AF18" s="420">
        <f>INDEX(Table!$I:$I,MATCH(AD18,Table!$B:$B,0))</f>
        <v>-53.876666666666658</v>
      </c>
      <c r="AG18" s="421" t="s">
        <v>403</v>
      </c>
      <c r="AH18" s="467" t="str">
        <f>INDEX(Table!$F:$F,MATCH(AG18,Table!$B:$B,0))</f>
        <v>Dave Bell</v>
      </c>
      <c r="AI18" s="420">
        <f>INDEX(Table!$I:$I,MATCH(AG18,Table!$B:$B,0))</f>
        <v>-75.3</v>
      </c>
      <c r="AJ18" s="421" t="s">
        <v>369</v>
      </c>
      <c r="AK18" s="422"/>
      <c r="AL18" s="420"/>
      <c r="AM18" s="76"/>
      <c r="AN18" s="620" t="str">
        <f t="shared" si="3"/>
        <v>Mike Penk</v>
      </c>
      <c r="AO18" s="620" t="str">
        <f t="shared" si="0"/>
        <v>Chris Bow</v>
      </c>
      <c r="AP18" s="620" t="str">
        <f t="shared" si="1"/>
        <v>Dave Bell</v>
      </c>
      <c r="AQ18" s="620" t="str">
        <f t="shared" si="2"/>
        <v/>
      </c>
      <c r="AR18" s="76"/>
      <c r="AS18" s="76"/>
      <c r="AT18" s="76"/>
      <c r="AU18" s="76"/>
      <c r="AV18" s="76"/>
      <c r="AW18" s="76"/>
    </row>
    <row r="19" spans="1:50" ht="18" customHeight="1">
      <c r="A19" s="8" t="s">
        <v>242</v>
      </c>
      <c r="B19" s="693"/>
      <c r="C19" s="227">
        <v>3</v>
      </c>
      <c r="D19" s="302">
        <f>INDEX(Table!I:I,MATCH($A19,Table!$B:$B,0))</f>
        <v>14.873041125541125</v>
      </c>
      <c r="E19" s="137">
        <f>INDEX(Table!J:J,MATCH($A19,Table!$B:$B,0))</f>
        <v>21</v>
      </c>
      <c r="F19" s="138" t="str">
        <f>INDEX(Table!F:F,MATCH($A19,Table!$B:$B,0))</f>
        <v>Paul Allen</v>
      </c>
      <c r="G19" s="302">
        <f>INDEX(Table!K:K,MATCH($A19,Table!$B:$B,0))</f>
        <v>-7</v>
      </c>
      <c r="H19" s="137">
        <f>INDEX(Table!L:L,MATCH($A19,Table!$B:$B,0))</f>
        <v>0</v>
      </c>
      <c r="I19" s="139"/>
      <c r="J19" s="328"/>
      <c r="K19" s="135" t="s">
        <v>451</v>
      </c>
      <c r="L19" s="540"/>
      <c r="M19" s="522" t="s">
        <v>517</v>
      </c>
      <c r="N19" s="514" t="str">
        <f>IF(M19="","",INDEX(Picks!K:K,MATCH(M19,Picks!J:J,0)))</f>
        <v>8/15</v>
      </c>
      <c r="O19" s="699" t="s">
        <v>637</v>
      </c>
      <c r="P19" s="700"/>
      <c r="Q19" s="701"/>
      <c r="R19" s="670" t="str">
        <f>IF(O19="","",INDEX(Picks!K:K,MATCH(O19,Picks!J:J,0)))</f>
        <v>11/10</v>
      </c>
      <c r="S19" s="516">
        <f>IF(M19="","",INDEX(TopPicks!K:K,MATCH(M19,TopPicks!I:I,0)))</f>
        <v>6</v>
      </c>
      <c r="T19" s="76"/>
      <c r="U19" s="76">
        <v>15</v>
      </c>
      <c r="V19" s="76"/>
      <c r="W19" s="76"/>
      <c r="X19" s="76"/>
      <c r="Y19" s="76"/>
      <c r="Z19" s="76"/>
      <c r="AA19" s="406" t="s">
        <v>384</v>
      </c>
      <c r="AB19" s="469" t="str">
        <f>INDEX(Table!F:F,MATCH(AA19,Table!$B:$B,0))</f>
        <v>Dave Orrell</v>
      </c>
      <c r="AC19" s="420">
        <f>INDEX(Table!I:I,MATCH(AA19,Table!$B:$B,0))</f>
        <v>-68.643787878787876</v>
      </c>
      <c r="AD19" s="421" t="s">
        <v>394</v>
      </c>
      <c r="AE19" s="467" t="str">
        <f>INDEX(Table!$F:$F,MATCH(AD19,Table!$B:$B,0))</f>
        <v>Frank Allen</v>
      </c>
      <c r="AF19" s="420">
        <f>INDEX(Table!$I:$I,MATCH(AD19,Table!$B:$B,0))</f>
        <v>-54.353950216450222</v>
      </c>
      <c r="AG19" s="421" t="s">
        <v>404</v>
      </c>
      <c r="AH19" s="467" t="str">
        <f>INDEX(Table!$F:$F,MATCH(AG19,Table!$B:$B,0))</f>
        <v>Emma McDermott</v>
      </c>
      <c r="AI19" s="420">
        <f>INDEX(Table!$I:$I,MATCH(AG19,Table!$B:$B,0))</f>
        <v>-88.735389610389603</v>
      </c>
      <c r="AJ19" s="421" t="s">
        <v>370</v>
      </c>
      <c r="AK19" s="422"/>
      <c r="AL19" s="420"/>
      <c r="AM19" s="76"/>
      <c r="AN19" s="620" t="str">
        <f t="shared" si="3"/>
        <v>Dave Orrell</v>
      </c>
      <c r="AO19" s="620" t="str">
        <f t="shared" si="0"/>
        <v>Frank Allen</v>
      </c>
      <c r="AP19" s="620" t="str">
        <f t="shared" si="1"/>
        <v>Emma McDermott</v>
      </c>
      <c r="AQ19" s="620" t="str">
        <f t="shared" si="2"/>
        <v/>
      </c>
      <c r="AR19" s="76"/>
      <c r="AS19" s="76"/>
      <c r="AT19" s="76"/>
      <c r="AU19" s="76"/>
      <c r="AV19" s="76"/>
      <c r="AW19" s="76"/>
    </row>
    <row r="20" spans="1:50" ht="18" customHeight="1">
      <c r="A20" s="8" t="s">
        <v>243</v>
      </c>
      <c r="B20" s="693"/>
      <c r="C20" s="227">
        <v>4</v>
      </c>
      <c r="D20" s="302">
        <f>INDEX(Table!I:I,MATCH($A20,Table!$B:$B,0))</f>
        <v>7.1079545454545396</v>
      </c>
      <c r="E20" s="137">
        <f>INDEX(Table!J:J,MATCH($A20,Table!$B:$B,0))</f>
        <v>26</v>
      </c>
      <c r="F20" s="138" t="str">
        <f>INDEX(Table!F:F,MATCH($A20,Table!$B:$B,0))</f>
        <v>Kevin Carter</v>
      </c>
      <c r="G20" s="302">
        <f>INDEX(Table!K:K,MATCH($A20,Table!$B:$B,0))</f>
        <v>-0.63030303030303081</v>
      </c>
      <c r="H20" s="137">
        <f>INDEX(Table!L:L,MATCH($A20,Table!$B:$B,0))</f>
        <v>2</v>
      </c>
      <c r="I20" s="76"/>
      <c r="J20" s="328"/>
      <c r="K20" s="135" t="s">
        <v>452</v>
      </c>
      <c r="L20" s="540"/>
      <c r="M20" s="522" t="s">
        <v>348</v>
      </c>
      <c r="N20" s="514" t="str">
        <f>IF(M20="","",INDEX(Picks!K:K,MATCH(M20,Picks!J:J,0)))</f>
        <v>19/20</v>
      </c>
      <c r="O20" s="699"/>
      <c r="P20" s="700"/>
      <c r="Q20" s="701"/>
      <c r="R20" s="523" t="str">
        <f>IF(O20="","",INDEX(Picks!K:K,MATCH(O20,Picks!J:J,0)))</f>
        <v/>
      </c>
      <c r="S20" s="516">
        <f>IF(M20="","",INDEX(TopPicks!J:J,MATCH(M20,TopPicks!I:I,0)))</f>
        <v>6</v>
      </c>
      <c r="T20" s="493"/>
      <c r="U20" s="76">
        <v>16</v>
      </c>
      <c r="V20" s="76"/>
      <c r="W20" s="76"/>
      <c r="X20" s="76"/>
      <c r="Y20" s="76"/>
      <c r="Z20" s="76"/>
      <c r="AA20" s="406" t="s">
        <v>385</v>
      </c>
      <c r="AB20" s="469" t="str">
        <f>INDEX(Table!F:F,MATCH(AA20,Table!$B:$B,0))</f>
        <v>Paul Fairhurst</v>
      </c>
      <c r="AC20" s="420">
        <f>INDEX(Table!I:I,MATCH(AA20,Table!$B:$B,0))</f>
        <v>-80.05</v>
      </c>
      <c r="AD20" s="421" t="s">
        <v>395</v>
      </c>
      <c r="AE20" s="467" t="str">
        <f>INDEX(Table!$F:$F,MATCH(AD20,Table!$B:$B,0))</f>
        <v>Dan Gibbard</v>
      </c>
      <c r="AF20" s="420">
        <f>INDEX(Table!$I:$I,MATCH(AD20,Table!$B:$B,0))</f>
        <v>-105</v>
      </c>
      <c r="AG20" s="421" t="s">
        <v>405</v>
      </c>
      <c r="AH20" s="467" t="str">
        <f>INDEX(Table!$F:$F,MATCH(AG20,Table!$B:$B,0))</f>
        <v>John Murphy</v>
      </c>
      <c r="AI20" s="420">
        <f>INDEX(Table!$I:$I,MATCH(AG20,Table!$B:$B,0))</f>
        <v>-89.1875</v>
      </c>
      <c r="AJ20" s="421" t="s">
        <v>371</v>
      </c>
      <c r="AK20" s="422"/>
      <c r="AL20" s="420"/>
      <c r="AM20" s="76"/>
      <c r="AN20" s="620" t="str">
        <f t="shared" si="3"/>
        <v>Paul Fairhurst</v>
      </c>
      <c r="AO20" s="620" t="str">
        <f t="shared" si="0"/>
        <v>Dan Gibbard</v>
      </c>
      <c r="AP20" s="620" t="str">
        <f t="shared" si="1"/>
        <v>John Murphy</v>
      </c>
      <c r="AQ20" s="620" t="str">
        <f t="shared" si="2"/>
        <v/>
      </c>
      <c r="AR20" s="76"/>
      <c r="AS20" s="76"/>
      <c r="AT20" s="76"/>
      <c r="AU20" s="76"/>
      <c r="AV20" s="76"/>
      <c r="AW20" s="76"/>
    </row>
    <row r="21" spans="1:50" ht="18" customHeight="1">
      <c r="A21" s="8" t="s">
        <v>244</v>
      </c>
      <c r="B21" s="693"/>
      <c r="C21" s="227">
        <v>5</v>
      </c>
      <c r="D21" s="302">
        <f>INDEX(Table!I:I,MATCH($A21,Table!$B:$B,0))</f>
        <v>-4.710988095238096</v>
      </c>
      <c r="E21" s="137">
        <f>INDEX(Table!J:J,MATCH($A21,Table!$B:$B,0))</f>
        <v>18</v>
      </c>
      <c r="F21" s="138" t="str">
        <f>INDEX(Table!F:F,MATCH($A21,Table!$B:$B,0))</f>
        <v>Tom Robinson</v>
      </c>
      <c r="G21" s="302">
        <f>INDEX(Table!K:K,MATCH($A21,Table!$B:$B,0))</f>
        <v>-5</v>
      </c>
      <c r="H21" s="137">
        <f>INDEX(Table!L:L,MATCH($A21,Table!$B:$B,0))</f>
        <v>1</v>
      </c>
      <c r="I21" s="76"/>
      <c r="J21" s="326"/>
      <c r="K21" s="432" t="s">
        <v>472</v>
      </c>
      <c r="L21" s="432"/>
      <c r="M21" s="691" t="s">
        <v>461</v>
      </c>
      <c r="N21" s="691"/>
      <c r="O21" s="691" t="s">
        <v>476</v>
      </c>
      <c r="P21" s="691"/>
      <c r="Q21" s="706"/>
      <c r="R21" s="727" t="s">
        <v>475</v>
      </c>
      <c r="S21" s="728"/>
      <c r="T21" s="76"/>
      <c r="U21" s="76">
        <v>17</v>
      </c>
      <c r="V21" s="76"/>
      <c r="W21" s="76"/>
      <c r="X21" s="76"/>
      <c r="Y21" s="76"/>
      <c r="Z21" s="76"/>
      <c r="AA21" s="406"/>
      <c r="AB21" s="416"/>
      <c r="AC21" s="423"/>
      <c r="AD21" s="421"/>
      <c r="AE21" s="422"/>
      <c r="AF21" s="424"/>
      <c r="AG21" s="421" t="s">
        <v>531</v>
      </c>
      <c r="AH21" s="467" t="str">
        <f>INDEX(Table!$F:$F,MATCH(AG21,Table!$B:$B,0))</f>
        <v>Bob Bailey</v>
      </c>
      <c r="AI21" s="420">
        <f>INDEX(Table!$I:$I,MATCH(AG21,Table!$B:$B,0))</f>
        <v>-105</v>
      </c>
      <c r="AJ21" s="421" t="s">
        <v>372</v>
      </c>
      <c r="AK21" s="422"/>
      <c r="AL21" s="420"/>
      <c r="AM21" s="76"/>
      <c r="AN21" s="76"/>
      <c r="AO21" s="76"/>
      <c r="AP21" s="76"/>
      <c r="AQ21" s="76"/>
      <c r="AR21" s="76"/>
      <c r="AS21" s="76"/>
      <c r="AT21" s="76"/>
      <c r="AU21" s="76"/>
      <c r="AV21" s="76"/>
      <c r="AW21" s="76"/>
    </row>
    <row r="22" spans="1:50" ht="18" customHeight="1" thickBot="1">
      <c r="A22" s="8" t="s">
        <v>312</v>
      </c>
      <c r="B22" s="694"/>
      <c r="C22" s="227">
        <v>6</v>
      </c>
      <c r="D22" s="306">
        <f>INDEX(Table!I:I,MATCH($A22,Table!$B:$B,0))</f>
        <v>-12.740821678321671</v>
      </c>
      <c r="E22" s="307">
        <f>INDEX(Table!J:J,MATCH($A22,Table!$B:$B,0))</f>
        <v>19</v>
      </c>
      <c r="F22" s="308" t="str">
        <f>INDEX(Table!F:F,MATCH($A22,Table!$B:$B,0))</f>
        <v>Vinny Topping</v>
      </c>
      <c r="G22" s="306">
        <f>INDEX(Table!K:K,MATCH($A22,Table!$B:$B,0))</f>
        <v>-5.15</v>
      </c>
      <c r="H22" s="307">
        <f>INDEX(Table!L:L,MATCH($A22,Table!$B:$B,0))</f>
        <v>1</v>
      </c>
      <c r="I22" s="76"/>
      <c r="J22" s="326"/>
      <c r="K22" s="135" t="s">
        <v>473</v>
      </c>
      <c r="L22" s="540"/>
      <c r="M22" s="522" t="s">
        <v>663</v>
      </c>
      <c r="N22" s="514" t="str">
        <f>IF(J23="Y",N23,INDEX(Picks!K:K,MATCH(M22,Picks!J:J,0)))</f>
        <v>16/5</v>
      </c>
      <c r="O22" s="715" t="s">
        <v>362</v>
      </c>
      <c r="P22" s="700"/>
      <c r="Q22" s="701"/>
      <c r="R22" s="709"/>
      <c r="S22" s="710"/>
      <c r="T22" s="76"/>
      <c r="U22" s="76">
        <v>18</v>
      </c>
      <c r="V22" s="76"/>
      <c r="W22" s="76"/>
      <c r="X22" s="76"/>
      <c r="Y22" s="76"/>
      <c r="Z22" s="76"/>
      <c r="AA22" s="406"/>
      <c r="AB22" s="416"/>
      <c r="AC22" s="423"/>
      <c r="AD22" s="421"/>
      <c r="AE22" s="422"/>
      <c r="AF22" s="424"/>
      <c r="AG22" s="421" t="s">
        <v>533</v>
      </c>
      <c r="AH22" s="467" t="str">
        <f>INDEX(Table!$F:$F,MATCH(AG22,Table!$B:$B,0))</f>
        <v>Julie Dodd</v>
      </c>
      <c r="AI22" s="420">
        <f>INDEX(Table!$I:$I,MATCH(AG22,Table!$B:$B,0))</f>
        <v>-105</v>
      </c>
      <c r="AJ22" s="421" t="s">
        <v>373</v>
      </c>
      <c r="AK22" s="422"/>
      <c r="AL22" s="420"/>
      <c r="AM22" s="76"/>
      <c r="AN22" s="76"/>
      <c r="AO22" s="76"/>
      <c r="AP22" s="76"/>
      <c r="AQ22" s="76"/>
      <c r="AR22" s="76"/>
      <c r="AS22" s="76"/>
      <c r="AT22" s="76"/>
      <c r="AU22" s="76"/>
      <c r="AV22" s="76"/>
      <c r="AW22" s="76"/>
    </row>
    <row r="23" spans="1:50" ht="18" customHeight="1" thickTop="1">
      <c r="A23" s="8" t="s">
        <v>36</v>
      </c>
      <c r="B23" s="692" t="s">
        <v>221</v>
      </c>
      <c r="C23" s="227">
        <v>1</v>
      </c>
      <c r="D23" s="303" t="e">
        <f>INDEX(Table!I:I,MATCH($A23,Table!$B:$B,0))</f>
        <v>#N/A</v>
      </c>
      <c r="E23" s="304" t="e">
        <f>INDEX(Table!J:J,MATCH($A23,Table!$B:$B,0))</f>
        <v>#N/A</v>
      </c>
      <c r="F23" s="305" t="e">
        <f>INDEX(Table!F:F,MATCH($A23,Table!$B:$B,0))</f>
        <v>#N/A</v>
      </c>
      <c r="G23" s="303" t="e">
        <f>INDEX(Table!K:K,MATCH($A23,Table!$B:$B,0))</f>
        <v>#N/A</v>
      </c>
      <c r="H23" s="304" t="e">
        <f>INDEX(Table!L:L,MATCH($A23,Table!$B:$B,0))</f>
        <v>#N/A</v>
      </c>
      <c r="I23" s="76"/>
      <c r="J23" s="673" t="s">
        <v>556</v>
      </c>
      <c r="K23" s="549"/>
      <c r="L23" s="549"/>
      <c r="M23" s="675" t="s">
        <v>663</v>
      </c>
      <c r="N23" s="674" t="s">
        <v>596</v>
      </c>
      <c r="O23" s="521"/>
      <c r="P23" s="521"/>
      <c r="Q23" s="521"/>
      <c r="R23" s="514"/>
      <c r="S23" s="550"/>
      <c r="T23" s="76"/>
      <c r="U23" s="76">
        <v>19</v>
      </c>
      <c r="V23" s="76"/>
      <c r="W23" s="76"/>
      <c r="X23" s="76"/>
      <c r="Y23" s="76"/>
      <c r="Z23" s="76"/>
      <c r="AA23" s="406"/>
      <c r="AB23" s="416"/>
      <c r="AC23" s="423"/>
      <c r="AD23" s="421"/>
      <c r="AE23" s="422"/>
      <c r="AF23" s="424"/>
      <c r="AG23" s="421" t="s">
        <v>534</v>
      </c>
      <c r="AH23" s="467" t="e">
        <f>INDEX(Table!$F:$F,MATCH(AG23,Table!$B:$B,0))</f>
        <v>#N/A</v>
      </c>
      <c r="AI23" s="420" t="e">
        <f>INDEX(Table!$I:$I,MATCH(AG23,Table!$B:$B,0))</f>
        <v>#N/A</v>
      </c>
      <c r="AJ23" s="421" t="s">
        <v>374</v>
      </c>
      <c r="AK23" s="422"/>
      <c r="AL23" s="420"/>
      <c r="AM23" s="76"/>
      <c r="AN23" s="76"/>
      <c r="AO23" s="76"/>
      <c r="AP23" s="76"/>
      <c r="AQ23" s="76"/>
      <c r="AR23" s="76"/>
      <c r="AS23" s="76"/>
      <c r="AT23" s="76"/>
      <c r="AU23" s="76"/>
      <c r="AV23" s="76"/>
      <c r="AW23" s="76"/>
    </row>
    <row r="24" spans="1:50" ht="18" customHeight="1">
      <c r="A24" s="8" t="s">
        <v>37</v>
      </c>
      <c r="B24" s="693"/>
      <c r="C24" s="227">
        <v>2</v>
      </c>
      <c r="D24" s="303" t="e">
        <f>INDEX(Table!I:I,MATCH($A24,Table!$B:$B,0))</f>
        <v>#N/A</v>
      </c>
      <c r="E24" s="304" t="e">
        <f>INDEX(Table!J:J,MATCH($A24,Table!$B:$B,0))</f>
        <v>#N/A</v>
      </c>
      <c r="F24" s="305" t="e">
        <f>INDEX(Table!F:F,MATCH($A24,Table!$B:$B,0))</f>
        <v>#N/A</v>
      </c>
      <c r="G24" s="303" t="e">
        <f>INDEX(Table!K:K,MATCH($A24,Table!$B:$B,0))</f>
        <v>#N/A</v>
      </c>
      <c r="H24" s="304" t="e">
        <f>INDEX(Table!L:L,MATCH($A24,Table!$B:$B,0))</f>
        <v>#N/A</v>
      </c>
      <c r="I24" s="76"/>
      <c r="J24" s="326"/>
      <c r="K24" s="548" t="s">
        <v>468</v>
      </c>
      <c r="L24" s="541"/>
      <c r="M24" s="542"/>
      <c r="N24" s="543"/>
      <c r="O24" s="542"/>
      <c r="P24" s="544"/>
      <c r="Q24" s="545"/>
      <c r="R24" s="546"/>
      <c r="S24" s="547"/>
      <c r="T24" s="76"/>
      <c r="U24" s="76">
        <v>20</v>
      </c>
      <c r="V24" s="76"/>
      <c r="W24" s="76"/>
      <c r="X24" s="76"/>
      <c r="Y24" s="76"/>
      <c r="Z24" s="76"/>
      <c r="AA24" s="406"/>
      <c r="AB24" s="416"/>
      <c r="AC24" s="423"/>
      <c r="AD24" s="421"/>
      <c r="AE24" s="422"/>
      <c r="AF24" s="424"/>
      <c r="AG24" s="421" t="s">
        <v>532</v>
      </c>
      <c r="AH24" s="467" t="e">
        <f>INDEX(Table!$F:$F,MATCH(AG24,Table!$B:$B,0))</f>
        <v>#N/A</v>
      </c>
      <c r="AI24" s="420" t="e">
        <f>INDEX(Table!$I:$I,MATCH(AG24,Table!$B:$B,0))</f>
        <v>#N/A</v>
      </c>
      <c r="AJ24" s="421" t="s">
        <v>375</v>
      </c>
      <c r="AK24" s="422"/>
      <c r="AL24" s="420"/>
      <c r="AM24" s="76"/>
      <c r="AN24" s="76"/>
      <c r="AO24" s="76"/>
      <c r="AP24" s="76"/>
      <c r="AQ24" s="76"/>
      <c r="AR24" s="76"/>
      <c r="AS24" s="76"/>
      <c r="AT24" s="76"/>
      <c r="AU24" s="76"/>
      <c r="AV24" s="76"/>
      <c r="AW24" s="76"/>
    </row>
    <row r="25" spans="1:50" ht="18" customHeight="1">
      <c r="A25" s="8" t="s">
        <v>245</v>
      </c>
      <c r="B25" s="693"/>
      <c r="C25" s="227">
        <v>3</v>
      </c>
      <c r="D25" s="302" t="e">
        <f>INDEX(Table!I:I,MATCH($A25,Table!$B:$B,0))</f>
        <v>#N/A</v>
      </c>
      <c r="E25" s="137" t="e">
        <f>INDEX(Table!J:J,MATCH($A25,Table!$B:$B,0))</f>
        <v>#N/A</v>
      </c>
      <c r="F25" s="138" t="e">
        <f>INDEX(Table!F:F,MATCH($A25,Table!$B:$B,0))</f>
        <v>#N/A</v>
      </c>
      <c r="G25" s="302" t="e">
        <f>INDEX(Table!K:K,MATCH($A25,Table!$B:$B,0))</f>
        <v>#N/A</v>
      </c>
      <c r="H25" s="137" t="e">
        <f>INDEX(Table!L:L,MATCH($A25,Table!$B:$B,0))</f>
        <v>#N/A</v>
      </c>
      <c r="I25" s="76"/>
      <c r="J25" s="326"/>
      <c r="K25" s="135" t="s">
        <v>453</v>
      </c>
      <c r="L25" s="540"/>
      <c r="M25" s="715" t="str">
        <f>INDEX(Picks!AI:AI,MATCH(O25,Picks!AJ:AJ,0))</f>
        <v>Dave Bell</v>
      </c>
      <c r="N25" s="701"/>
      <c r="O25" s="539">
        <f>MAX(Picks!AJ:AJ)</f>
        <v>927</v>
      </c>
      <c r="P25" s="523" t="str">
        <f>IF(O25="","",(INDEX(Picks!AK:AK,MATCH(O25,Picks!AJ:AJ,0)))&amp;" in")</f>
        <v>0 in</v>
      </c>
      <c r="Q25" s="721"/>
      <c r="R25" s="722"/>
      <c r="S25" s="723"/>
      <c r="T25" s="76"/>
      <c r="U25" s="76"/>
      <c r="V25" s="76"/>
      <c r="W25" s="76"/>
      <c r="X25" s="76"/>
      <c r="Y25" s="76"/>
      <c r="Z25" s="76"/>
      <c r="AA25" s="76"/>
      <c r="AB25" s="551"/>
      <c r="AC25" s="87"/>
      <c r="AD25" s="76"/>
      <c r="AE25" s="76"/>
      <c r="AF25" s="76"/>
      <c r="AG25" s="76"/>
      <c r="AH25" s="76"/>
      <c r="AI25" s="76"/>
      <c r="AJ25" s="76"/>
      <c r="AK25" s="76"/>
      <c r="AL25" s="76"/>
      <c r="AM25" s="76"/>
      <c r="AN25" s="76"/>
      <c r="AO25" s="76"/>
      <c r="AP25" s="76"/>
      <c r="AQ25" s="76"/>
      <c r="AR25" s="76"/>
      <c r="AS25" s="76"/>
      <c r="AT25" s="76"/>
      <c r="AU25" s="76"/>
      <c r="AV25" s="76"/>
      <c r="AW25" s="76"/>
    </row>
    <row r="26" spans="1:50" ht="18" customHeight="1">
      <c r="A26" s="8" t="s">
        <v>316</v>
      </c>
      <c r="B26" s="693"/>
      <c r="C26" s="227">
        <v>4</v>
      </c>
      <c r="D26" s="302" t="e">
        <f>INDEX(Table!I:I,MATCH($A26,Table!$B:$B,0))</f>
        <v>#N/A</v>
      </c>
      <c r="E26" s="137" t="e">
        <f>INDEX(Table!J:J,MATCH($A26,Table!$B:$B,0))</f>
        <v>#N/A</v>
      </c>
      <c r="F26" s="138" t="e">
        <f>INDEX(Table!F:F,MATCH($A26,Table!$B:$B,0))</f>
        <v>#N/A</v>
      </c>
      <c r="G26" s="302" t="e">
        <f>INDEX(Table!K:K,MATCH($A26,Table!$B:$B,0))</f>
        <v>#N/A</v>
      </c>
      <c r="H26" s="137" t="e">
        <f>INDEX(Table!L:L,MATCH($A26,Table!$B:$B,0))</f>
        <v>#N/A</v>
      </c>
      <c r="I26" s="76"/>
      <c r="J26" s="326"/>
      <c r="K26" s="135" t="s">
        <v>454</v>
      </c>
      <c r="L26" s="540"/>
      <c r="M26" s="715" t="str">
        <f>INDEX(Picks!AI:AI,MATCH(O26,Picks!AJ:AJ,0))</f>
        <v>Phil Miller</v>
      </c>
      <c r="N26" s="701"/>
      <c r="O26" s="539">
        <f>MIN(Picks!AJ:AJ)</f>
        <v>6.4761904761904745</v>
      </c>
      <c r="P26" s="523" t="str">
        <f>IF(O26="","",(INDEX(Picks!AK:AK,MATCH(O26,Picks!AJ:AJ,0)))&amp;" in")</f>
        <v>2 in</v>
      </c>
      <c r="Q26" s="724"/>
      <c r="R26" s="725"/>
      <c r="S26" s="726"/>
      <c r="T26" s="76"/>
      <c r="U26" s="76"/>
      <c r="V26" s="76"/>
      <c r="W26" s="76"/>
      <c r="X26" s="76"/>
      <c r="Y26" s="76"/>
      <c r="Z26" s="494"/>
      <c r="AA26" s="76"/>
      <c r="AB26" s="551"/>
      <c r="AC26" s="87"/>
      <c r="AD26" s="76"/>
      <c r="AE26" s="76"/>
      <c r="AF26" s="76"/>
      <c r="AG26" s="76"/>
      <c r="AH26" s="76"/>
      <c r="AI26" s="76"/>
      <c r="AJ26" s="76"/>
      <c r="AK26" s="76"/>
      <c r="AL26" s="76"/>
      <c r="AM26" s="76"/>
      <c r="AN26" s="76"/>
      <c r="AO26" s="76"/>
      <c r="AP26" s="76"/>
      <c r="AQ26" s="76"/>
      <c r="AR26" s="76"/>
      <c r="AS26" s="76"/>
      <c r="AT26" s="76"/>
      <c r="AU26" s="76"/>
      <c r="AV26" s="76"/>
      <c r="AW26" s="76"/>
    </row>
    <row r="27" spans="1:50" ht="18" customHeight="1">
      <c r="A27" s="8" t="s">
        <v>246</v>
      </c>
      <c r="B27" s="693"/>
      <c r="C27" s="227">
        <v>5</v>
      </c>
      <c r="D27" s="302" t="e">
        <f>INDEX(Table!I:I,MATCH($A27,Table!$B:$B,0))</f>
        <v>#N/A</v>
      </c>
      <c r="E27" s="137" t="e">
        <f>INDEX(Table!J:J,MATCH($A27,Table!$B:$B,0))</f>
        <v>#N/A</v>
      </c>
      <c r="F27" s="138" t="e">
        <f>INDEX(Table!F:F,MATCH($A27,Table!$B:$B,0))</f>
        <v>#N/A</v>
      </c>
      <c r="G27" s="302" t="e">
        <f>INDEX(Table!K:K,MATCH($A27,Table!$B:$B,0))</f>
        <v>#N/A</v>
      </c>
      <c r="H27" s="137" t="e">
        <f>INDEX(Table!L:L,MATCH($A27,Table!$B:$B,0))</f>
        <v>#N/A</v>
      </c>
      <c r="I27" s="76"/>
      <c r="J27" s="326"/>
      <c r="K27" s="139"/>
      <c r="L27" s="139"/>
      <c r="M27" s="139"/>
      <c r="N27" s="139"/>
      <c r="O27" s="139"/>
      <c r="P27" s="139"/>
      <c r="Q27" s="139"/>
      <c r="R27" s="139"/>
      <c r="S27" s="139"/>
      <c r="T27" s="76"/>
      <c r="U27" s="76"/>
      <c r="V27" s="76"/>
      <c r="W27" s="76"/>
      <c r="X27" s="76"/>
      <c r="Y27" s="76"/>
      <c r="Z27" s="494"/>
      <c r="AA27" s="76"/>
      <c r="AB27" s="551"/>
      <c r="AC27" s="87"/>
      <c r="AD27" s="76"/>
      <c r="AE27" s="76"/>
      <c r="AF27" s="76"/>
      <c r="AG27" s="76"/>
      <c r="AH27" s="76"/>
      <c r="AI27" s="76"/>
      <c r="AJ27" s="76"/>
      <c r="AK27" s="76"/>
      <c r="AL27" s="76"/>
      <c r="AM27" s="76"/>
      <c r="AN27" s="76"/>
      <c r="AO27" s="76"/>
      <c r="AP27" s="76"/>
      <c r="AQ27" s="76"/>
      <c r="AR27" s="76"/>
      <c r="AS27" s="76"/>
      <c r="AT27" s="76"/>
      <c r="AU27" s="76"/>
      <c r="AV27" s="76"/>
      <c r="AW27" s="76"/>
    </row>
    <row r="28" spans="1:50" ht="18" customHeight="1">
      <c r="A28" s="8" t="s">
        <v>313</v>
      </c>
      <c r="B28" s="694"/>
      <c r="C28" s="227">
        <v>6</v>
      </c>
      <c r="D28" s="302" t="e">
        <f>INDEX(Table!I:I,MATCH($A28,Table!$B:$B,0))</f>
        <v>#N/A</v>
      </c>
      <c r="E28" s="137" t="e">
        <f>INDEX(Table!J:J,MATCH($A28,Table!$B:$B,0))</f>
        <v>#N/A</v>
      </c>
      <c r="F28" s="138" t="e">
        <f>INDEX(Table!F:F,MATCH($A28,Table!$B:$B,0))</f>
        <v>#N/A</v>
      </c>
      <c r="G28" s="302" t="e">
        <f>INDEX(Table!K:K,MATCH($A28,Table!$B:$B,0))</f>
        <v>#N/A</v>
      </c>
      <c r="H28" s="137" t="e">
        <f>INDEX(Table!L:L,MATCH($A28,Table!$B:$B,0))</f>
        <v>#N/A</v>
      </c>
      <c r="I28" s="76"/>
      <c r="J28" s="326" t="s">
        <v>182</v>
      </c>
      <c r="K28" s="432" t="s">
        <v>185</v>
      </c>
      <c r="L28" s="510"/>
      <c r="M28" s="729" t="str">
        <f>"No submission = "&amp;Picks!$AN1</f>
        <v>No submission = 8</v>
      </c>
      <c r="N28" s="729"/>
      <c r="O28" s="729"/>
      <c r="P28" s="729"/>
      <c r="Q28" s="729"/>
      <c r="R28" s="729"/>
      <c r="S28" s="729"/>
      <c r="T28" s="76"/>
      <c r="U28" s="76"/>
      <c r="V28" s="76"/>
      <c r="W28" s="76"/>
      <c r="X28" s="76"/>
      <c r="Y28" s="76"/>
      <c r="Z28" s="494"/>
      <c r="AA28" s="76"/>
      <c r="AB28" s="551"/>
      <c r="AC28" s="87"/>
      <c r="AD28" s="76"/>
      <c r="AE28" s="76"/>
      <c r="AF28" s="76"/>
      <c r="AG28" s="76"/>
      <c r="AH28" s="76"/>
      <c r="AI28" s="76"/>
      <c r="AJ28" s="76"/>
      <c r="AK28" s="76"/>
      <c r="AL28" s="76"/>
      <c r="AM28" s="76"/>
      <c r="AN28" s="76"/>
      <c r="AO28" s="76"/>
      <c r="AP28" s="76"/>
      <c r="AQ28" s="76"/>
      <c r="AR28" s="76"/>
      <c r="AS28" s="76"/>
      <c r="AT28" s="76"/>
      <c r="AU28" s="76"/>
      <c r="AV28" s="76"/>
      <c r="AW28" s="76"/>
    </row>
    <row r="29" spans="1:50" ht="18" customHeight="1">
      <c r="B29" s="76"/>
      <c r="C29" s="77"/>
      <c r="D29" s="77"/>
      <c r="E29" s="80"/>
      <c r="F29" s="76"/>
      <c r="G29" s="76"/>
      <c r="H29" s="80"/>
      <c r="I29" s="76"/>
      <c r="J29" s="326"/>
      <c r="K29" s="698" t="s">
        <v>463</v>
      </c>
      <c r="L29" s="706"/>
      <c r="M29" s="552" t="s">
        <v>465</v>
      </c>
      <c r="N29" s="698" t="s">
        <v>464</v>
      </c>
      <c r="O29" s="691"/>
      <c r="P29" s="706"/>
      <c r="Q29" s="691" t="s">
        <v>466</v>
      </c>
      <c r="R29" s="691"/>
      <c r="S29" s="706"/>
      <c r="T29" s="76"/>
      <c r="U29" s="76"/>
      <c r="V29" s="76"/>
      <c r="W29" s="76"/>
      <c r="X29" s="76"/>
      <c r="Y29" s="76"/>
      <c r="Z29" s="494"/>
      <c r="AA29" s="76"/>
      <c r="AB29" s="551"/>
      <c r="AC29" s="87"/>
      <c r="AD29" s="76"/>
      <c r="AE29" s="76"/>
      <c r="AF29" s="76"/>
      <c r="AG29" s="76"/>
      <c r="AH29" s="76"/>
      <c r="AI29" s="76"/>
      <c r="AJ29" s="76"/>
      <c r="AK29" s="76"/>
      <c r="AL29" s="76"/>
      <c r="AM29" s="76"/>
      <c r="AN29" s="76"/>
      <c r="AO29" s="76"/>
      <c r="AP29" s="76"/>
      <c r="AQ29" s="76"/>
      <c r="AR29" s="76"/>
      <c r="AS29" s="76"/>
      <c r="AT29" s="76"/>
      <c r="AU29" s="76"/>
      <c r="AV29" s="76"/>
      <c r="AW29" s="76"/>
    </row>
    <row r="30" spans="1:50" ht="18" customHeight="1">
      <c r="B30" s="76"/>
      <c r="C30" s="77"/>
      <c r="D30" s="77"/>
      <c r="E30" s="80"/>
      <c r="F30" s="76"/>
      <c r="G30" s="76"/>
      <c r="H30" s="80"/>
      <c r="I30" s="76"/>
      <c r="J30" s="326"/>
      <c r="K30" s="718">
        <f>IF($J$31="Y",K31,'3of3'!$B$5)</f>
        <v>3</v>
      </c>
      <c r="L30" s="719">
        <f>'3of3'!$B$5</f>
        <v>3</v>
      </c>
      <c r="M30" s="136">
        <f>IF(J31="Y",M31,'3of3'!$B$6)</f>
        <v>14</v>
      </c>
      <c r="N30" s="718">
        <f>IF(J31="Y",N31,'3of3'!$B$7)</f>
        <v>17</v>
      </c>
      <c r="O30" s="720">
        <f>'3of3'!$B$6</f>
        <v>14</v>
      </c>
      <c r="P30" s="719">
        <f>'3of3'!$B$6</f>
        <v>14</v>
      </c>
      <c r="Q30" s="718">
        <f>IF(J31="Y",Q31,'3of3'!$B$8)</f>
        <v>16</v>
      </c>
      <c r="R30" s="720">
        <f>'3of3'!$B$6</f>
        <v>14</v>
      </c>
      <c r="S30" s="719">
        <f>'3of3'!$B$6</f>
        <v>14</v>
      </c>
      <c r="T30" s="76"/>
      <c r="U30" s="76"/>
      <c r="V30" s="76"/>
      <c r="W30" s="76"/>
      <c r="X30" s="76"/>
      <c r="Y30" s="76"/>
      <c r="Z30" s="76"/>
      <c r="AA30" s="76"/>
      <c r="AB30" s="76"/>
      <c r="AC30" s="87"/>
      <c r="AD30" s="76"/>
      <c r="AE30" s="76"/>
      <c r="AF30" s="76"/>
      <c r="AG30" s="76"/>
      <c r="AH30" s="76"/>
      <c r="AI30" s="76"/>
      <c r="AJ30" s="76"/>
      <c r="AK30" s="76"/>
      <c r="AL30" s="76"/>
      <c r="AM30" s="76"/>
      <c r="AN30" s="76"/>
      <c r="AO30" s="76"/>
      <c r="AP30" s="76"/>
      <c r="AQ30" s="76"/>
      <c r="AR30" s="76"/>
      <c r="AS30" s="76"/>
      <c r="AT30" s="76"/>
      <c r="AU30" s="76"/>
      <c r="AV30" s="76"/>
      <c r="AW30" s="76"/>
    </row>
    <row r="31" spans="1:50" ht="18" customHeight="1">
      <c r="B31" s="76"/>
      <c r="C31" s="77"/>
      <c r="D31" s="77"/>
      <c r="E31" s="80"/>
      <c r="F31" s="76"/>
      <c r="G31" s="76"/>
      <c r="H31" s="80"/>
      <c r="I31" s="76"/>
      <c r="J31" s="590" t="s">
        <v>556</v>
      </c>
      <c r="K31" s="717">
        <v>0</v>
      </c>
      <c r="L31" s="717"/>
      <c r="M31" s="80">
        <v>21</v>
      </c>
      <c r="N31" s="717">
        <v>16</v>
      </c>
      <c r="O31" s="717"/>
      <c r="P31" s="717"/>
      <c r="Q31" s="717">
        <v>15</v>
      </c>
      <c r="R31" s="717"/>
      <c r="S31" s="717"/>
      <c r="T31" s="76"/>
      <c r="U31" s="76"/>
      <c r="V31" s="76"/>
      <c r="W31" s="76"/>
      <c r="X31" s="76"/>
      <c r="Y31" s="76"/>
      <c r="Z31" s="76"/>
      <c r="AA31" s="76"/>
      <c r="AB31" s="76"/>
      <c r="AC31" s="136">
        <f>'3of3'!$B$5</f>
        <v>3</v>
      </c>
      <c r="AD31" s="87"/>
      <c r="AE31" s="139" t="s">
        <v>479</v>
      </c>
      <c r="AF31" s="76"/>
      <c r="AG31" s="76"/>
      <c r="AH31" s="76"/>
      <c r="AI31" s="76"/>
      <c r="AJ31" s="76"/>
      <c r="AK31" s="76"/>
      <c r="AL31" s="76"/>
      <c r="AM31" s="76"/>
      <c r="AN31" s="76"/>
      <c r="AO31" s="76"/>
      <c r="AP31" s="76"/>
      <c r="AQ31" s="76"/>
      <c r="AR31" s="76"/>
      <c r="AS31" s="76"/>
      <c r="AT31" s="76"/>
      <c r="AU31" s="76"/>
      <c r="AV31" s="76"/>
      <c r="AW31" s="76"/>
      <c r="AX31" s="76"/>
    </row>
    <row r="32" spans="1:50" ht="18" customHeight="1">
      <c r="B32" s="76"/>
      <c r="C32" s="77"/>
      <c r="D32" s="77"/>
      <c r="E32" s="80"/>
      <c r="F32" s="76"/>
      <c r="G32" s="76"/>
      <c r="H32" s="80"/>
      <c r="I32" s="76"/>
      <c r="J32" s="326"/>
      <c r="K32" s="76"/>
      <c r="L32" s="76"/>
      <c r="M32" s="58"/>
      <c r="N32" s="76"/>
      <c r="O32" s="76"/>
      <c r="P32" s="76"/>
      <c r="Q32" s="76"/>
      <c r="R32" s="76"/>
      <c r="S32" s="76"/>
      <c r="T32" s="76"/>
      <c r="U32" s="76"/>
      <c r="V32" s="76"/>
      <c r="W32" s="76"/>
      <c r="X32" s="76"/>
      <c r="Y32" s="76"/>
      <c r="Z32" s="76"/>
      <c r="AA32" s="76"/>
      <c r="AB32" s="76"/>
      <c r="AC32" s="136">
        <f>'3of3'!$B$6</f>
        <v>14</v>
      </c>
      <c r="AD32" s="87"/>
      <c r="AE32" s="139" t="s">
        <v>480</v>
      </c>
      <c r="AF32" s="76"/>
      <c r="AG32" s="76"/>
      <c r="AH32" s="76"/>
      <c r="AI32" s="76"/>
      <c r="AJ32" s="76"/>
      <c r="AK32" s="76"/>
      <c r="AL32" s="76"/>
      <c r="AM32" s="76"/>
      <c r="AN32" s="76"/>
      <c r="AO32" s="76"/>
      <c r="AP32" s="76"/>
      <c r="AQ32" s="76"/>
      <c r="AR32" s="76"/>
      <c r="AS32" s="76"/>
      <c r="AT32" s="76"/>
      <c r="AU32" s="76"/>
      <c r="AV32" s="76"/>
      <c r="AW32" s="76"/>
      <c r="AX32" s="76"/>
    </row>
    <row r="33" spans="2:50" ht="18" customHeight="1">
      <c r="B33" s="76"/>
      <c r="C33" s="77"/>
      <c r="D33" s="77"/>
      <c r="E33" s="80"/>
      <c r="F33" s="76"/>
      <c r="G33" s="76"/>
      <c r="H33" s="80"/>
      <c r="I33" s="76"/>
      <c r="J33" s="326"/>
      <c r="K33" s="76"/>
      <c r="L33" s="76"/>
      <c r="M33" s="76"/>
      <c r="N33" s="76"/>
      <c r="O33" s="76"/>
      <c r="P33" s="76"/>
      <c r="Q33" s="76"/>
      <c r="R33" s="76"/>
      <c r="S33" s="58" t="s">
        <v>471</v>
      </c>
      <c r="T33" s="76"/>
      <c r="U33" s="76"/>
      <c r="V33" s="76"/>
      <c r="W33" s="76"/>
      <c r="X33" s="76"/>
      <c r="Y33" s="76"/>
      <c r="Z33" s="76"/>
      <c r="AA33" s="76"/>
      <c r="AB33" s="76"/>
      <c r="AC33" s="136">
        <f>'3of3'!$B$7</f>
        <v>17</v>
      </c>
      <c r="AD33" s="87"/>
      <c r="AE33" s="139" t="s">
        <v>481</v>
      </c>
      <c r="AF33" s="76"/>
      <c r="AG33" s="76"/>
      <c r="AH33" s="76"/>
      <c r="AI33" s="76"/>
      <c r="AJ33" s="76"/>
      <c r="AK33" s="76"/>
      <c r="AL33" s="76"/>
      <c r="AM33" s="76"/>
      <c r="AN33" s="76"/>
      <c r="AO33" s="76"/>
      <c r="AP33" s="76"/>
      <c r="AQ33" s="76"/>
      <c r="AR33" s="76"/>
      <c r="AS33" s="76"/>
      <c r="AT33" s="76"/>
      <c r="AU33" s="76"/>
      <c r="AV33" s="76"/>
      <c r="AW33" s="76"/>
      <c r="AX33" s="76"/>
    </row>
    <row r="34" spans="2:50" ht="18" customHeight="1">
      <c r="B34" s="76"/>
      <c r="C34" s="77"/>
      <c r="D34" s="77"/>
      <c r="E34" s="80"/>
      <c r="F34" s="76"/>
      <c r="G34" s="76"/>
      <c r="H34" s="80"/>
      <c r="I34" s="76"/>
      <c r="J34" s="326"/>
      <c r="K34" s="76"/>
      <c r="L34" s="76"/>
      <c r="M34" s="76"/>
      <c r="N34" s="76"/>
      <c r="O34" s="76"/>
      <c r="P34" s="76"/>
      <c r="Q34" s="76"/>
      <c r="R34" s="76"/>
      <c r="S34" s="428">
        <f>MIN(Picks!AJ:AJ)</f>
        <v>6.4761904761904745</v>
      </c>
      <c r="T34" s="76"/>
      <c r="U34" s="76"/>
      <c r="V34" s="76"/>
      <c r="W34" s="76"/>
      <c r="X34" s="76"/>
      <c r="Y34" s="76"/>
      <c r="Z34" s="76"/>
      <c r="AA34" s="76"/>
      <c r="AB34" s="76"/>
      <c r="AC34" s="136">
        <f>'3of3'!$B$8</f>
        <v>16</v>
      </c>
      <c r="AD34" s="87"/>
      <c r="AE34" s="139" t="s">
        <v>482</v>
      </c>
      <c r="AF34" s="76"/>
      <c r="AG34" s="76"/>
      <c r="AH34" s="76"/>
      <c r="AI34" s="76"/>
      <c r="AJ34" s="76"/>
      <c r="AK34" s="76"/>
      <c r="AL34" s="76"/>
      <c r="AM34" s="76"/>
      <c r="AN34" s="76"/>
      <c r="AO34" s="76"/>
      <c r="AP34" s="76"/>
      <c r="AQ34" s="76"/>
      <c r="AR34" s="76"/>
      <c r="AS34" s="76"/>
      <c r="AT34" s="76"/>
      <c r="AU34" s="76"/>
      <c r="AV34" s="76"/>
      <c r="AW34" s="76"/>
      <c r="AX34" s="76"/>
    </row>
    <row r="35" spans="2:50" ht="18" customHeight="1">
      <c r="C35" s="77"/>
      <c r="D35" s="77"/>
      <c r="E35" s="80"/>
      <c r="F35" s="76"/>
      <c r="G35" s="76"/>
      <c r="H35" s="80"/>
      <c r="I35" s="76"/>
      <c r="J35" s="326"/>
      <c r="K35" s="76"/>
      <c r="L35" s="76"/>
      <c r="M35" s="76"/>
      <c r="N35" s="76"/>
      <c r="O35" s="76"/>
      <c r="P35" s="76"/>
      <c r="Q35" s="76"/>
      <c r="R35" s="76"/>
      <c r="S35" s="76"/>
      <c r="T35" s="76"/>
      <c r="U35" s="76"/>
      <c r="V35" s="76"/>
      <c r="W35" s="76"/>
      <c r="X35" s="76"/>
      <c r="Y35" s="76"/>
      <c r="Z35" s="76"/>
      <c r="AA35" s="76"/>
      <c r="AC35" s="87"/>
      <c r="AD35" s="76"/>
      <c r="AE35" s="76"/>
      <c r="AF35" s="76"/>
      <c r="AG35" s="76"/>
      <c r="AH35" s="76"/>
      <c r="AI35" s="76"/>
      <c r="AJ35" s="76"/>
      <c r="AK35" s="76"/>
      <c r="AL35" s="76"/>
      <c r="AM35" s="76"/>
      <c r="AN35" s="76"/>
      <c r="AO35" s="76"/>
      <c r="AP35" s="76"/>
      <c r="AQ35" s="76"/>
      <c r="AR35" s="76"/>
      <c r="AS35" s="76"/>
      <c r="AT35" s="76"/>
      <c r="AU35" s="76"/>
      <c r="AV35" s="76"/>
      <c r="AW35" s="76"/>
    </row>
    <row r="36" spans="2:50" ht="18" customHeight="1">
      <c r="C36" s="77"/>
      <c r="D36" s="77"/>
      <c r="E36" s="80"/>
      <c r="F36" s="76"/>
      <c r="G36" s="76"/>
      <c r="H36" s="80"/>
      <c r="I36" s="76"/>
      <c r="J36" s="326"/>
      <c r="K36" s="76"/>
      <c r="L36" s="76"/>
      <c r="M36" s="76"/>
      <c r="N36" s="76"/>
      <c r="O36" s="76"/>
      <c r="P36" s="76"/>
      <c r="Q36" s="76"/>
      <c r="R36" s="76"/>
      <c r="S36" s="58" t="s">
        <v>437</v>
      </c>
      <c r="T36" s="76"/>
      <c r="U36" s="76"/>
      <c r="V36" s="76"/>
      <c r="W36" s="76"/>
      <c r="X36" s="76"/>
      <c r="Y36" s="76"/>
      <c r="Z36" s="76"/>
      <c r="AA36" s="76"/>
      <c r="AC36" s="87"/>
      <c r="AD36" s="76"/>
      <c r="AE36" s="76"/>
      <c r="AF36" s="76"/>
      <c r="AG36" s="76"/>
      <c r="AH36" s="76"/>
      <c r="AI36" s="76"/>
      <c r="AJ36" s="76"/>
      <c r="AK36" s="76"/>
      <c r="AL36" s="76"/>
      <c r="AM36" s="76"/>
      <c r="AN36" s="76"/>
      <c r="AO36" s="76"/>
      <c r="AP36" s="76"/>
      <c r="AQ36" s="76"/>
      <c r="AR36" s="76"/>
      <c r="AS36" s="76"/>
      <c r="AT36" s="76"/>
      <c r="AU36" s="76"/>
      <c r="AV36" s="76"/>
      <c r="AW36" s="76"/>
    </row>
    <row r="37" spans="2:50" ht="18" customHeight="1">
      <c r="C37" s="77"/>
      <c r="D37" s="77"/>
      <c r="E37" s="80"/>
      <c r="F37" s="76"/>
      <c r="G37" s="76"/>
      <c r="H37" s="80"/>
      <c r="I37" s="76"/>
      <c r="J37" s="326"/>
      <c r="K37" s="76"/>
      <c r="L37" s="76"/>
      <c r="M37" s="76"/>
      <c r="N37" s="76"/>
      <c r="O37" s="76"/>
      <c r="P37" s="76"/>
      <c r="Q37" s="76"/>
      <c r="R37" s="76"/>
      <c r="S37" s="428">
        <f>MAX(Picks!AJ:AJ)</f>
        <v>927</v>
      </c>
      <c r="T37" s="76"/>
      <c r="U37" s="76"/>
      <c r="V37" s="76"/>
      <c r="W37" s="76"/>
      <c r="X37" s="76"/>
      <c r="Y37" s="76"/>
      <c r="Z37" s="76"/>
      <c r="AA37" s="76"/>
      <c r="AB37" s="76"/>
      <c r="AC37" s="87"/>
      <c r="AD37" s="76"/>
      <c r="AE37" s="76"/>
      <c r="AF37" s="76"/>
      <c r="AG37" s="76"/>
      <c r="AH37" s="76"/>
      <c r="AI37" s="76"/>
      <c r="AJ37" s="76"/>
      <c r="AK37" s="76"/>
      <c r="AL37" s="76"/>
      <c r="AM37" s="76"/>
      <c r="AN37" s="76"/>
      <c r="AO37" s="76"/>
      <c r="AP37" s="76"/>
      <c r="AQ37" s="76"/>
      <c r="AR37" s="76"/>
      <c r="AS37" s="76"/>
      <c r="AT37" s="76"/>
      <c r="AU37" s="76"/>
      <c r="AV37" s="76"/>
      <c r="AW37" s="76"/>
    </row>
    <row r="38" spans="2:50" ht="18" customHeight="1">
      <c r="C38" s="77"/>
      <c r="D38" s="77"/>
      <c r="E38" s="80"/>
      <c r="F38" s="76"/>
      <c r="G38" s="76"/>
      <c r="H38" s="80"/>
      <c r="I38" s="76"/>
      <c r="J38" s="326"/>
      <c r="K38" s="76"/>
      <c r="L38" s="76"/>
      <c r="M38" s="76"/>
      <c r="N38" s="76"/>
      <c r="O38" s="76"/>
      <c r="P38" s="76"/>
      <c r="Q38" s="76"/>
      <c r="R38" s="76"/>
      <c r="S38" s="76"/>
      <c r="T38" s="76"/>
      <c r="U38" s="76"/>
      <c r="V38" s="76"/>
      <c r="W38" s="76"/>
      <c r="X38" s="76"/>
      <c r="Y38" s="76"/>
      <c r="Z38" s="76"/>
      <c r="AA38" s="76"/>
      <c r="AB38" s="76"/>
      <c r="AC38" s="87"/>
      <c r="AD38" s="76"/>
      <c r="AE38" s="76"/>
      <c r="AF38" s="76"/>
      <c r="AG38" s="76"/>
      <c r="AH38" s="76"/>
      <c r="AI38" s="76"/>
      <c r="AJ38" s="76"/>
      <c r="AK38" s="76"/>
      <c r="AL38" s="76"/>
      <c r="AM38" s="76"/>
      <c r="AN38" s="76"/>
      <c r="AO38" s="76"/>
      <c r="AP38" s="76"/>
      <c r="AQ38" s="76"/>
      <c r="AR38" s="76"/>
      <c r="AS38" s="76"/>
      <c r="AT38" s="76"/>
      <c r="AU38" s="76"/>
      <c r="AV38" s="76"/>
      <c r="AW38" s="76"/>
    </row>
    <row r="39" spans="2:50" ht="18" customHeight="1">
      <c r="C39" s="77"/>
      <c r="D39" s="77"/>
      <c r="E39" s="80"/>
      <c r="F39" s="76"/>
      <c r="G39" s="76"/>
      <c r="H39" s="80"/>
      <c r="I39" s="76"/>
      <c r="J39" s="326"/>
      <c r="K39" s="76"/>
      <c r="L39" s="76"/>
      <c r="M39" s="76"/>
      <c r="N39" s="76"/>
      <c r="O39" s="76"/>
      <c r="P39" s="76"/>
      <c r="Q39" s="76"/>
      <c r="R39" s="76"/>
      <c r="S39" s="76" t="s">
        <v>470</v>
      </c>
      <c r="T39" s="555"/>
      <c r="U39" s="555"/>
      <c r="V39" s="556"/>
      <c r="W39" s="76"/>
      <c r="X39" s="76"/>
      <c r="Y39" s="76"/>
      <c r="Z39" s="76"/>
      <c r="AA39" s="76"/>
      <c r="AB39" s="76"/>
      <c r="AC39" s="87"/>
      <c r="AD39" s="76"/>
      <c r="AE39" s="76"/>
      <c r="AF39" s="76"/>
      <c r="AG39" s="76"/>
      <c r="AH39" s="76"/>
      <c r="AI39" s="76"/>
      <c r="AJ39" s="76"/>
      <c r="AK39" s="76"/>
      <c r="AL39" s="76"/>
      <c r="AM39" s="76"/>
      <c r="AN39" s="76"/>
      <c r="AO39" s="76"/>
      <c r="AP39" s="76"/>
      <c r="AQ39" s="76"/>
      <c r="AR39" s="76"/>
      <c r="AS39" s="76"/>
      <c r="AT39" s="76"/>
      <c r="AU39" s="76"/>
      <c r="AV39" s="76"/>
      <c r="AW39" s="76"/>
    </row>
    <row r="40" spans="2:50" ht="18" customHeight="1">
      <c r="C40" s="77"/>
      <c r="D40" s="77"/>
      <c r="E40" s="80"/>
      <c r="F40" s="76"/>
      <c r="G40" s="76"/>
      <c r="H40" s="80"/>
      <c r="I40" s="76"/>
      <c r="J40" s="326"/>
      <c r="K40" s="76"/>
      <c r="L40" s="76"/>
      <c r="M40" s="76"/>
      <c r="N40" s="76"/>
      <c r="O40" s="76"/>
      <c r="P40" s="76"/>
      <c r="Q40" s="76"/>
      <c r="R40" s="76"/>
      <c r="S40" s="554" t="str">
        <f>IF($M$22="","",INDEX(Picks!$A:$A,MATCH($M$22,Picks!$J:$J,0)))</f>
        <v>Gerard Ventom</v>
      </c>
      <c r="T40" s="76"/>
      <c r="U40" s="76"/>
      <c r="V40" s="76"/>
      <c r="W40" s="76"/>
      <c r="X40" s="76"/>
      <c r="Y40" s="76"/>
      <c r="Z40" s="76"/>
      <c r="AA40" s="76"/>
      <c r="AB40" s="76"/>
      <c r="AC40" s="87"/>
      <c r="AD40" s="76"/>
      <c r="AE40" s="76"/>
      <c r="AF40" s="76"/>
      <c r="AG40" s="76"/>
      <c r="AH40" s="76"/>
      <c r="AI40" s="76"/>
      <c r="AJ40" s="76"/>
      <c r="AK40" s="76"/>
      <c r="AL40" s="76"/>
      <c r="AM40" s="76"/>
      <c r="AN40" s="76"/>
      <c r="AO40" s="76"/>
      <c r="AP40" s="76"/>
      <c r="AQ40" s="76"/>
      <c r="AR40" s="76"/>
      <c r="AS40" s="76"/>
      <c r="AT40" s="76"/>
      <c r="AU40" s="76"/>
      <c r="AV40" s="76"/>
      <c r="AW40" s="76"/>
    </row>
    <row r="41" spans="2:50" ht="18" customHeight="1">
      <c r="C41" s="77"/>
      <c r="D41" s="77"/>
      <c r="E41" s="80"/>
      <c r="F41" s="76"/>
      <c r="G41" s="76"/>
      <c r="H41" s="80"/>
      <c r="I41" s="76"/>
      <c r="J41" s="326"/>
      <c r="K41" s="76"/>
      <c r="L41" s="76"/>
      <c r="M41" s="76"/>
      <c r="N41" s="76"/>
      <c r="O41" s="76"/>
      <c r="P41" s="76"/>
      <c r="Q41" s="76"/>
      <c r="R41" s="76"/>
      <c r="S41" s="76"/>
      <c r="T41" s="76"/>
      <c r="U41" s="76"/>
      <c r="V41" s="76"/>
      <c r="W41" s="76"/>
      <c r="X41" s="76"/>
      <c r="Y41" s="76"/>
      <c r="Z41" s="76"/>
      <c r="AA41" s="76"/>
      <c r="AB41" s="76"/>
      <c r="AC41" s="87"/>
      <c r="AD41" s="76"/>
      <c r="AE41" s="76"/>
      <c r="AF41" s="76"/>
      <c r="AG41" s="76"/>
      <c r="AH41" s="76"/>
      <c r="AI41" s="76"/>
      <c r="AJ41" s="76"/>
      <c r="AK41" s="76"/>
      <c r="AL41" s="76"/>
      <c r="AM41" s="76"/>
      <c r="AN41" s="76"/>
      <c r="AO41" s="76"/>
      <c r="AP41" s="76"/>
      <c r="AQ41" s="76"/>
      <c r="AR41" s="76"/>
      <c r="AS41" s="76"/>
      <c r="AT41" s="76"/>
      <c r="AU41" s="76"/>
      <c r="AV41" s="76"/>
      <c r="AW41" s="76"/>
    </row>
    <row r="42" spans="2:50" ht="18" customHeight="1">
      <c r="C42" s="77"/>
      <c r="D42" s="77"/>
      <c r="E42" s="80"/>
      <c r="F42" s="76"/>
      <c r="G42" s="76"/>
      <c r="H42" s="80"/>
      <c r="I42" s="76"/>
      <c r="J42" s="326"/>
      <c r="K42" s="76"/>
      <c r="L42" s="76"/>
      <c r="M42" s="76"/>
      <c r="N42" s="76"/>
      <c r="O42" s="76"/>
      <c r="P42" s="76"/>
      <c r="Q42" s="76"/>
      <c r="R42" s="76"/>
      <c r="S42" s="76"/>
      <c r="T42" s="76"/>
      <c r="U42" s="76"/>
      <c r="V42" s="76"/>
      <c r="W42" s="76"/>
      <c r="X42" s="76"/>
      <c r="Y42" s="76"/>
      <c r="Z42" s="76"/>
      <c r="AA42" s="76"/>
      <c r="AB42" s="76"/>
      <c r="AC42" s="87"/>
      <c r="AD42" s="76"/>
      <c r="AE42" s="76"/>
      <c r="AF42" s="76"/>
      <c r="AG42" s="76"/>
      <c r="AH42" s="76"/>
      <c r="AI42" s="76"/>
      <c r="AJ42" s="76"/>
      <c r="AK42" s="76"/>
      <c r="AL42" s="76"/>
      <c r="AM42" s="76"/>
      <c r="AN42" s="76"/>
      <c r="AO42" s="76"/>
      <c r="AP42" s="76"/>
      <c r="AQ42" s="76"/>
      <c r="AR42" s="76"/>
      <c r="AS42" s="76"/>
      <c r="AT42" s="76"/>
      <c r="AU42" s="76"/>
      <c r="AV42" s="76"/>
      <c r="AW42" s="76"/>
    </row>
    <row r="43" spans="2:50" ht="18" customHeight="1">
      <c r="C43" s="77"/>
      <c r="D43" s="77"/>
      <c r="E43" s="80"/>
      <c r="F43" s="76"/>
      <c r="G43" s="76"/>
      <c r="H43" s="80"/>
      <c r="I43" s="76"/>
      <c r="J43" s="326"/>
      <c r="K43" s="76"/>
      <c r="L43" s="76"/>
      <c r="M43" s="76"/>
      <c r="N43" s="76"/>
      <c r="O43" s="76"/>
      <c r="P43" s="76"/>
      <c r="Q43" s="76"/>
      <c r="R43" s="76"/>
      <c r="S43" s="76"/>
      <c r="T43" s="76"/>
      <c r="U43" s="76"/>
      <c r="V43" s="76"/>
      <c r="W43" s="76"/>
      <c r="X43" s="76"/>
      <c r="Y43" s="76"/>
      <c r="Z43" s="76"/>
      <c r="AA43" s="76"/>
      <c r="AB43" s="76"/>
      <c r="AC43" s="87"/>
      <c r="AD43" s="76"/>
      <c r="AE43" s="76"/>
      <c r="AF43" s="76"/>
      <c r="AG43" s="76"/>
      <c r="AH43" s="76"/>
      <c r="AI43" s="76"/>
      <c r="AJ43" s="76"/>
      <c r="AK43" s="76"/>
      <c r="AL43" s="76"/>
      <c r="AM43" s="76"/>
      <c r="AN43" s="76"/>
      <c r="AO43" s="76"/>
      <c r="AP43" s="76"/>
      <c r="AQ43" s="76"/>
      <c r="AR43" s="76"/>
      <c r="AS43" s="76"/>
      <c r="AT43" s="76"/>
      <c r="AU43" s="76"/>
      <c r="AV43" s="76"/>
      <c r="AW43" s="76"/>
    </row>
    <row r="44" spans="2:50" ht="18" customHeight="1">
      <c r="C44" s="77"/>
      <c r="D44" s="77"/>
      <c r="E44" s="80"/>
      <c r="F44" s="76"/>
      <c r="G44" s="76"/>
      <c r="H44" s="80"/>
      <c r="I44" s="76"/>
      <c r="J44" s="326"/>
      <c r="K44" s="76"/>
      <c r="L44" s="76"/>
      <c r="M44" s="76"/>
      <c r="N44" s="76"/>
      <c r="O44" s="76"/>
      <c r="P44" s="76"/>
      <c r="Q44" s="76"/>
      <c r="R44" s="76"/>
      <c r="S44" s="76"/>
      <c r="T44" s="76"/>
      <c r="U44" s="76"/>
      <c r="V44" s="76"/>
      <c r="W44" s="76"/>
      <c r="X44" s="76"/>
      <c r="Y44" s="76"/>
      <c r="Z44" s="76"/>
      <c r="AA44" s="76"/>
      <c r="AB44" s="76"/>
      <c r="AC44" s="87"/>
      <c r="AD44" s="76"/>
      <c r="AE44" s="76"/>
      <c r="AF44" s="76"/>
      <c r="AG44" s="76"/>
      <c r="AH44" s="76"/>
      <c r="AI44" s="76"/>
      <c r="AJ44" s="76"/>
      <c r="AK44" s="76"/>
      <c r="AL44" s="76"/>
      <c r="AM44" s="76"/>
      <c r="AN44" s="76"/>
      <c r="AO44" s="76"/>
      <c r="AP44" s="76"/>
      <c r="AQ44" s="76"/>
      <c r="AR44" s="76"/>
      <c r="AS44" s="76"/>
      <c r="AT44" s="76"/>
      <c r="AU44" s="76"/>
      <c r="AV44" s="76"/>
      <c r="AW44" s="76"/>
    </row>
    <row r="45" spans="2:50" ht="18" customHeight="1">
      <c r="C45" s="77"/>
      <c r="D45" s="77"/>
      <c r="E45" s="80"/>
      <c r="F45" s="76"/>
      <c r="G45" s="76"/>
      <c r="H45" s="80"/>
      <c r="I45" s="76"/>
      <c r="J45" s="326"/>
      <c r="K45" s="76"/>
      <c r="L45" s="76"/>
      <c r="M45" s="76"/>
      <c r="N45" s="76"/>
      <c r="O45" s="76"/>
      <c r="P45" s="76"/>
      <c r="Q45" s="76"/>
      <c r="R45" s="76"/>
      <c r="S45" s="76"/>
      <c r="T45" s="76"/>
      <c r="U45" s="76"/>
      <c r="V45" s="76"/>
      <c r="W45" s="76"/>
      <c r="X45" s="76"/>
      <c r="Y45" s="76"/>
      <c r="Z45" s="76"/>
      <c r="AA45" s="76"/>
      <c r="AB45" s="76"/>
      <c r="AC45" s="87"/>
      <c r="AD45" s="76"/>
      <c r="AE45" s="76"/>
      <c r="AF45" s="76"/>
      <c r="AG45" s="76"/>
      <c r="AH45" s="76"/>
      <c r="AI45" s="76"/>
      <c r="AJ45" s="76"/>
      <c r="AK45" s="76"/>
      <c r="AL45" s="76"/>
      <c r="AM45" s="76"/>
      <c r="AN45" s="76"/>
      <c r="AO45" s="76"/>
      <c r="AP45" s="76"/>
      <c r="AQ45" s="76"/>
      <c r="AR45" s="76"/>
      <c r="AS45" s="76"/>
      <c r="AT45" s="76"/>
      <c r="AU45" s="76"/>
      <c r="AV45" s="76"/>
      <c r="AW45" s="76"/>
    </row>
    <row r="46" spans="2:50" ht="18" customHeight="1">
      <c r="C46" s="77"/>
      <c r="D46" s="77"/>
      <c r="E46" s="80"/>
      <c r="F46" s="76"/>
      <c r="G46" s="76"/>
      <c r="H46" s="80"/>
      <c r="I46" s="76"/>
      <c r="J46" s="326"/>
      <c r="K46" s="76"/>
      <c r="L46" s="76"/>
      <c r="M46" s="76"/>
      <c r="N46" s="76"/>
      <c r="O46" s="76"/>
      <c r="P46" s="76"/>
      <c r="Q46" s="76"/>
      <c r="R46" s="76"/>
      <c r="S46" s="76"/>
      <c r="T46" s="76"/>
      <c r="U46" s="76"/>
      <c r="V46" s="76"/>
      <c r="W46" s="76"/>
      <c r="X46" s="76"/>
      <c r="Y46" s="76"/>
      <c r="Z46" s="76"/>
      <c r="AA46" s="76"/>
      <c r="AB46" s="76"/>
      <c r="AC46" s="87"/>
      <c r="AD46" s="76"/>
      <c r="AE46" s="76"/>
      <c r="AF46" s="76"/>
      <c r="AG46" s="76"/>
      <c r="AH46" s="76"/>
      <c r="AI46" s="76"/>
      <c r="AJ46" s="76"/>
      <c r="AK46" s="76"/>
      <c r="AL46" s="76"/>
      <c r="AM46" s="76"/>
      <c r="AN46" s="76"/>
      <c r="AO46" s="76"/>
      <c r="AP46" s="76"/>
      <c r="AQ46" s="76"/>
      <c r="AR46" s="76"/>
      <c r="AS46" s="76"/>
      <c r="AT46" s="76"/>
      <c r="AU46" s="76"/>
      <c r="AV46" s="76"/>
      <c r="AW46" s="76"/>
    </row>
    <row r="47" spans="2:50" ht="18" customHeight="1">
      <c r="C47" s="77"/>
      <c r="D47" s="77"/>
      <c r="E47" s="80"/>
      <c r="F47" s="76"/>
      <c r="G47" s="76"/>
      <c r="H47" s="80"/>
      <c r="I47" s="76"/>
      <c r="J47" s="326"/>
      <c r="K47" s="76"/>
      <c r="L47" s="76"/>
      <c r="M47" s="76"/>
      <c r="N47" s="76"/>
      <c r="O47" s="76"/>
      <c r="P47" s="76"/>
      <c r="Q47" s="76"/>
      <c r="R47" s="76"/>
      <c r="S47" s="76"/>
      <c r="T47" s="76"/>
      <c r="U47" s="76"/>
      <c r="V47" s="76"/>
      <c r="W47" s="76"/>
      <c r="X47" s="76"/>
      <c r="Y47" s="76"/>
      <c r="Z47" s="76"/>
      <c r="AA47" s="76"/>
      <c r="AB47" s="76"/>
      <c r="AC47" s="87"/>
      <c r="AD47" s="76"/>
      <c r="AE47" s="76"/>
      <c r="AF47" s="76"/>
      <c r="AG47" s="76"/>
      <c r="AH47" s="76"/>
      <c r="AI47" s="76"/>
      <c r="AJ47" s="76"/>
      <c r="AK47" s="76"/>
      <c r="AL47" s="76"/>
      <c r="AM47" s="76"/>
      <c r="AN47" s="76"/>
      <c r="AO47" s="76"/>
      <c r="AP47" s="76"/>
      <c r="AQ47" s="76"/>
      <c r="AR47" s="76"/>
      <c r="AS47" s="76"/>
      <c r="AT47" s="76"/>
      <c r="AU47" s="76"/>
      <c r="AV47" s="76"/>
      <c r="AW47" s="76"/>
    </row>
    <row r="48" spans="2:50" ht="18" customHeight="1">
      <c r="C48" s="77"/>
      <c r="D48" s="77"/>
      <c r="E48" s="80"/>
      <c r="F48" s="76"/>
      <c r="G48" s="76"/>
      <c r="H48" s="80"/>
      <c r="J48" s="326"/>
      <c r="K48" s="76"/>
      <c r="L48" s="76"/>
      <c r="M48" s="76"/>
      <c r="N48" s="76"/>
      <c r="O48" s="76"/>
      <c r="P48" s="76"/>
      <c r="Q48" s="76"/>
      <c r="R48" s="76"/>
      <c r="S48" s="76"/>
      <c r="T48" s="76"/>
      <c r="U48" s="76"/>
      <c r="V48" s="76"/>
      <c r="W48" s="76"/>
      <c r="X48" s="76"/>
      <c r="Y48" s="76"/>
      <c r="Z48" s="76"/>
      <c r="AA48" s="76"/>
      <c r="AB48" s="76"/>
      <c r="AC48" s="87"/>
      <c r="AD48" s="76"/>
      <c r="AE48" s="76"/>
      <c r="AF48" s="76"/>
      <c r="AG48" s="76"/>
      <c r="AH48" s="76"/>
      <c r="AI48" s="76"/>
      <c r="AJ48" s="76"/>
      <c r="AK48" s="76"/>
      <c r="AL48" s="76"/>
      <c r="AM48" s="76"/>
      <c r="AN48" s="76"/>
      <c r="AO48" s="76"/>
      <c r="AP48" s="76"/>
      <c r="AQ48" s="76"/>
      <c r="AR48" s="76"/>
      <c r="AS48" s="76"/>
      <c r="AT48" s="76"/>
      <c r="AU48" s="76"/>
      <c r="AV48" s="76"/>
      <c r="AW48" s="76"/>
    </row>
    <row r="49" spans="3:49" ht="18" customHeight="1">
      <c r="C49" s="77"/>
      <c r="D49" s="77"/>
      <c r="E49" s="80"/>
      <c r="F49" s="76"/>
      <c r="G49" s="76"/>
      <c r="H49" s="80"/>
      <c r="J49" s="326"/>
      <c r="K49" s="76"/>
      <c r="L49" s="76"/>
      <c r="M49" s="76"/>
      <c r="N49" s="76"/>
      <c r="O49" s="76"/>
      <c r="P49" s="76"/>
      <c r="Q49" s="76"/>
      <c r="R49" s="76"/>
      <c r="S49" s="76"/>
      <c r="T49" s="76"/>
      <c r="U49" s="76"/>
      <c r="V49" s="76"/>
      <c r="W49" s="76"/>
      <c r="X49" s="76"/>
      <c r="Y49" s="76"/>
      <c r="Z49" s="76"/>
      <c r="AA49" s="76"/>
      <c r="AB49" s="76"/>
      <c r="AC49" s="87"/>
      <c r="AD49" s="76"/>
      <c r="AE49" s="76"/>
      <c r="AF49" s="76"/>
      <c r="AG49" s="76"/>
      <c r="AH49" s="76"/>
      <c r="AI49" s="76"/>
      <c r="AJ49" s="76"/>
      <c r="AK49" s="76"/>
      <c r="AL49" s="76"/>
      <c r="AM49" s="76"/>
      <c r="AN49" s="76"/>
      <c r="AO49" s="76"/>
      <c r="AP49" s="76"/>
      <c r="AQ49" s="76"/>
      <c r="AR49" s="76"/>
      <c r="AS49" s="76"/>
      <c r="AT49" s="76"/>
      <c r="AU49" s="76"/>
      <c r="AV49" s="76"/>
      <c r="AW49" s="76"/>
    </row>
    <row r="50" spans="3:49" ht="18" customHeight="1">
      <c r="C50" s="77"/>
      <c r="D50" s="77"/>
      <c r="E50" s="80"/>
      <c r="F50" s="76"/>
      <c r="G50" s="76"/>
      <c r="H50" s="80"/>
      <c r="J50" s="326"/>
      <c r="K50" s="76"/>
      <c r="L50" s="76"/>
      <c r="M50" s="76"/>
      <c r="N50" s="76"/>
      <c r="O50" s="76"/>
      <c r="P50" s="76"/>
      <c r="Q50" s="76"/>
      <c r="R50" s="76"/>
      <c r="S50" s="76"/>
      <c r="T50" s="76"/>
      <c r="U50" s="76"/>
      <c r="V50" s="76"/>
      <c r="W50" s="76"/>
      <c r="X50" s="76"/>
      <c r="Y50" s="76"/>
      <c r="Z50" s="76"/>
      <c r="AA50" s="76"/>
      <c r="AB50" s="76"/>
      <c r="AC50" s="87"/>
      <c r="AD50" s="76"/>
      <c r="AE50" s="76"/>
      <c r="AF50" s="76"/>
      <c r="AG50" s="76"/>
      <c r="AH50" s="76"/>
      <c r="AI50" s="76"/>
      <c r="AJ50" s="76"/>
      <c r="AK50" s="76"/>
      <c r="AL50" s="76"/>
      <c r="AM50" s="76"/>
      <c r="AN50" s="76"/>
      <c r="AO50" s="76"/>
      <c r="AP50" s="76"/>
      <c r="AQ50" s="76"/>
      <c r="AR50" s="76"/>
      <c r="AS50" s="76"/>
      <c r="AT50" s="76"/>
      <c r="AU50" s="76"/>
      <c r="AV50" s="76"/>
      <c r="AW50" s="76"/>
    </row>
    <row r="51" spans="3:49" ht="18" customHeight="1">
      <c r="C51" s="77"/>
      <c r="D51" s="77"/>
      <c r="E51" s="80"/>
      <c r="F51" s="76"/>
      <c r="G51" s="76"/>
      <c r="H51" s="80"/>
      <c r="J51" s="327"/>
      <c r="K51" s="76"/>
      <c r="L51" s="76"/>
      <c r="M51" s="76"/>
      <c r="N51" s="76"/>
      <c r="O51" s="76"/>
      <c r="P51" s="76"/>
      <c r="Q51" s="76"/>
      <c r="R51" s="76"/>
      <c r="S51" s="76"/>
      <c r="T51" s="76"/>
      <c r="U51" s="76"/>
      <c r="V51" s="76"/>
      <c r="W51" s="76"/>
      <c r="X51" s="76"/>
      <c r="Y51" s="76"/>
      <c r="Z51" s="76"/>
      <c r="AA51" s="76"/>
      <c r="AB51" s="76"/>
      <c r="AC51" s="87"/>
      <c r="AD51" s="76"/>
      <c r="AE51" s="76"/>
      <c r="AF51" s="76"/>
      <c r="AG51" s="76"/>
      <c r="AH51" s="76"/>
      <c r="AI51" s="76"/>
      <c r="AJ51" s="76"/>
      <c r="AK51" s="76"/>
      <c r="AL51" s="76"/>
    </row>
    <row r="52" spans="3:49" ht="18" customHeight="1">
      <c r="K52" s="76"/>
      <c r="L52" s="76"/>
      <c r="M52" s="76"/>
      <c r="N52" s="76"/>
      <c r="O52" s="76"/>
      <c r="P52" s="76"/>
      <c r="Q52" s="76"/>
      <c r="R52" s="76"/>
      <c r="S52" s="76"/>
      <c r="T52" s="76"/>
      <c r="U52" s="76"/>
      <c r="V52" s="76"/>
      <c r="W52" s="76"/>
      <c r="X52" s="76"/>
      <c r="Y52" s="76"/>
      <c r="Z52" s="76"/>
      <c r="AA52" s="76"/>
      <c r="AB52" s="76"/>
      <c r="AC52" s="87"/>
      <c r="AD52" s="76"/>
      <c r="AE52" s="76"/>
      <c r="AF52" s="76"/>
      <c r="AG52" s="76"/>
      <c r="AH52" s="76"/>
      <c r="AI52" s="76"/>
      <c r="AJ52" s="76"/>
      <c r="AK52" s="76"/>
      <c r="AL52" s="76"/>
    </row>
    <row r="53" spans="3:49" ht="18" customHeight="1">
      <c r="K53" s="76"/>
      <c r="L53" s="76"/>
      <c r="M53" s="76"/>
      <c r="N53" s="76"/>
      <c r="O53" s="76"/>
      <c r="P53" s="76"/>
      <c r="Q53" s="76"/>
      <c r="R53" s="76"/>
      <c r="S53" s="76"/>
      <c r="T53" s="76"/>
      <c r="U53" s="76"/>
      <c r="V53" s="76"/>
      <c r="W53" s="76"/>
      <c r="X53" s="76"/>
      <c r="Y53" s="76"/>
      <c r="Z53" s="76"/>
      <c r="AA53" s="76"/>
      <c r="AB53" s="76"/>
      <c r="AC53" s="87"/>
      <c r="AD53" s="76"/>
      <c r="AE53" s="76"/>
      <c r="AF53" s="76"/>
      <c r="AG53" s="76"/>
      <c r="AH53" s="76"/>
      <c r="AI53" s="76"/>
      <c r="AJ53" s="76"/>
      <c r="AK53" s="76"/>
    </row>
    <row r="54" spans="3:49" ht="18" customHeight="1">
      <c r="K54" s="76"/>
      <c r="L54" s="76"/>
      <c r="M54" s="76"/>
      <c r="N54" s="76"/>
      <c r="O54" s="76"/>
      <c r="P54" s="76"/>
      <c r="Q54" s="76"/>
      <c r="R54" s="76"/>
      <c r="S54" s="76"/>
      <c r="AB54" s="76"/>
    </row>
    <row r="55" spans="3:49" ht="18" customHeight="1">
      <c r="K55" s="76"/>
      <c r="L55" s="76"/>
      <c r="M55" s="76"/>
      <c r="N55" s="76"/>
      <c r="O55" s="76"/>
      <c r="P55" s="76"/>
      <c r="Q55" s="76"/>
      <c r="R55" s="76"/>
      <c r="S55" s="76"/>
      <c r="AB55" s="76"/>
    </row>
    <row r="56" spans="3:49" ht="18" customHeight="1">
      <c r="K56" s="76"/>
      <c r="L56" s="76"/>
      <c r="M56" s="76"/>
      <c r="N56" s="76"/>
      <c r="O56" s="76"/>
      <c r="P56" s="76"/>
      <c r="Q56" s="76"/>
      <c r="R56" s="76"/>
      <c r="S56" s="76"/>
    </row>
    <row r="57" spans="3:49" ht="18" customHeight="1">
      <c r="K57" s="76"/>
      <c r="L57" s="76"/>
      <c r="M57" s="76"/>
      <c r="N57" s="76"/>
      <c r="O57" s="76"/>
      <c r="P57" s="76"/>
      <c r="Q57" s="76"/>
      <c r="R57" s="76"/>
      <c r="S57" s="76"/>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8">
    <mergeCell ref="Q29:S29"/>
    <mergeCell ref="K3:S3"/>
    <mergeCell ref="AN3:AQ3"/>
    <mergeCell ref="K31:L31"/>
    <mergeCell ref="N31:P31"/>
    <mergeCell ref="Q31:S31"/>
    <mergeCell ref="K30:L30"/>
    <mergeCell ref="M18:N18"/>
    <mergeCell ref="N30:P30"/>
    <mergeCell ref="Q30:S30"/>
    <mergeCell ref="Q25:S25"/>
    <mergeCell ref="Q26:S26"/>
    <mergeCell ref="R21:S21"/>
    <mergeCell ref="K29:L29"/>
    <mergeCell ref="M26:N26"/>
    <mergeCell ref="M28:S28"/>
    <mergeCell ref="N29:P29"/>
    <mergeCell ref="AH4:AI4"/>
    <mergeCell ref="AK4:AL4"/>
    <mergeCell ref="R22:S22"/>
    <mergeCell ref="L9:M9"/>
    <mergeCell ref="M21:N21"/>
    <mergeCell ref="O21:Q21"/>
    <mergeCell ref="O20:Q20"/>
    <mergeCell ref="L14:M14"/>
    <mergeCell ref="L15:M15"/>
    <mergeCell ref="L16:M16"/>
    <mergeCell ref="L8:M8"/>
    <mergeCell ref="O22:Q22"/>
    <mergeCell ref="M25:N25"/>
    <mergeCell ref="AB4:AC4"/>
    <mergeCell ref="AE4:AF4"/>
    <mergeCell ref="AB3:AI3"/>
    <mergeCell ref="O18:Q18"/>
    <mergeCell ref="B23:B28"/>
    <mergeCell ref="D3:H3"/>
    <mergeCell ref="B5:B10"/>
    <mergeCell ref="B11:B16"/>
    <mergeCell ref="B17:B22"/>
    <mergeCell ref="L13:M13"/>
    <mergeCell ref="L4:M4"/>
    <mergeCell ref="O19:Q19"/>
    <mergeCell ref="L10:M10"/>
    <mergeCell ref="L11:M11"/>
    <mergeCell ref="L12:M12"/>
    <mergeCell ref="L5:M5"/>
    <mergeCell ref="L6:M6"/>
    <mergeCell ref="L7:M7"/>
  </mergeCell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FFFF00"/>
    <pageSetUpPr fitToPage="1"/>
  </sheetPr>
  <dimension ref="A1:AN247"/>
  <sheetViews>
    <sheetView topLeftCell="K1" zoomScale="80" zoomScaleNormal="80" workbookViewId="0">
      <pane ySplit="1" topLeftCell="A16" activePane="bottomLeft" state="frozen"/>
      <selection activeCell="A194" sqref="A194"/>
      <selection pane="bottomLeft" activeCell="AD1" sqref="AD1:AL51"/>
    </sheetView>
  </sheetViews>
  <sheetFormatPr defaultColWidth="9.1328125" defaultRowHeight="13.15"/>
  <cols>
    <col min="1" max="1" width="22.1328125" style="10" bestFit="1" customWidth="1"/>
    <col min="2" max="2" width="20.3984375" style="14" customWidth="1"/>
    <col min="3" max="3" width="6" style="668" customWidth="1"/>
    <col min="4" max="4" width="8.73046875" style="18" customWidth="1"/>
    <col min="5" max="5" width="8.06640625" style="10" customWidth="1"/>
    <col min="6" max="6" width="8.59765625" style="128" customWidth="1"/>
    <col min="7" max="7" width="8.86328125" style="10" customWidth="1"/>
    <col min="8" max="8" width="5.46484375" style="451" customWidth="1"/>
    <col min="9" max="9" width="6.796875" style="158" customWidth="1"/>
    <col min="10" max="10" width="29.265625" style="14" customWidth="1"/>
    <col min="11" max="11" width="10.73046875" style="10" customWidth="1"/>
    <col min="12" max="12" width="10.86328125" style="169" customWidth="1"/>
    <col min="13" max="13" width="6.59765625" style="10" customWidth="1"/>
    <col min="14" max="14" width="9" style="19" customWidth="1"/>
    <col min="15" max="15" width="26.06640625" style="19" customWidth="1"/>
    <col min="16" max="16" width="38.73046875" style="8" hidden="1" customWidth="1"/>
    <col min="17" max="17" width="3.59765625" style="58" hidden="1" customWidth="1"/>
    <col min="18" max="18" width="25.73046875" style="8" hidden="1" customWidth="1"/>
    <col min="19" max="19" width="11.1328125" style="8" hidden="1" customWidth="1"/>
    <col min="20" max="20" width="7" style="10" hidden="1" customWidth="1"/>
    <col min="21" max="21" width="20.73046875" style="8" hidden="1" customWidth="1"/>
    <col min="22" max="22" width="9.265625" style="8" hidden="1" customWidth="1"/>
    <col min="23" max="23" width="16.3984375" style="8" hidden="1" customWidth="1"/>
    <col min="24" max="24" width="8.86328125" style="8" hidden="1" customWidth="1"/>
    <col min="25" max="25" width="10.86328125" style="8" hidden="1" customWidth="1"/>
    <col min="26" max="26" width="20.1328125" style="8" hidden="1" customWidth="1"/>
    <col min="27" max="27" width="6.265625" style="10" hidden="1" customWidth="1"/>
    <col min="28" max="29" width="9.46484375" style="10" customWidth="1"/>
    <col min="30" max="30" width="21.86328125" style="8" customWidth="1"/>
    <col min="31" max="31" width="12.59765625" style="8" customWidth="1"/>
    <col min="32" max="32" width="12.59765625" style="281" customWidth="1"/>
    <col min="33" max="33" width="8" style="8" customWidth="1"/>
    <col min="34" max="34" width="3.73046875" style="8" customWidth="1"/>
    <col min="35" max="35" width="21.86328125" style="8" customWidth="1"/>
    <col min="36" max="37" width="12.59765625" style="8" customWidth="1"/>
    <col min="38" max="38" width="7.73046875" style="8" customWidth="1"/>
    <col min="39" max="16384" width="9.1328125" style="8"/>
  </cols>
  <sheetData>
    <row r="1" spans="1:40" s="20" customFormat="1" ht="55.5" customHeight="1" thickTop="1" thickBot="1">
      <c r="A1" s="460" t="s">
        <v>16</v>
      </c>
      <c r="B1" s="460" t="s">
        <v>25</v>
      </c>
      <c r="C1" s="667" t="s">
        <v>512</v>
      </c>
      <c r="D1" s="461" t="s">
        <v>159</v>
      </c>
      <c r="E1" s="462" t="s">
        <v>256</v>
      </c>
      <c r="F1" s="462" t="s">
        <v>28</v>
      </c>
      <c r="G1" s="463" t="s">
        <v>163</v>
      </c>
      <c r="H1" s="203">
        <f>entrants-SUM(H2:H151)-Inactive</f>
        <v>3</v>
      </c>
      <c r="I1" s="376" t="s">
        <v>347</v>
      </c>
      <c r="J1" s="512" t="s">
        <v>450</v>
      </c>
      <c r="K1" s="195" t="s">
        <v>54</v>
      </c>
      <c r="L1" s="196" t="s">
        <v>55</v>
      </c>
      <c r="M1" s="197" t="s">
        <v>17</v>
      </c>
      <c r="N1" s="197" t="s">
        <v>53</v>
      </c>
      <c r="O1" s="642"/>
      <c r="P1" s="563" t="s">
        <v>19</v>
      </c>
      <c r="Q1" s="198"/>
      <c r="R1" s="199" t="s">
        <v>48</v>
      </c>
      <c r="S1" s="200" t="s">
        <v>31</v>
      </c>
      <c r="T1" s="201" t="s">
        <v>52</v>
      </c>
      <c r="U1" s="20" t="s">
        <v>20</v>
      </c>
      <c r="V1" s="20" t="s">
        <v>44</v>
      </c>
      <c r="W1" s="20" t="s">
        <v>21</v>
      </c>
      <c r="X1" s="20" t="s">
        <v>45</v>
      </c>
      <c r="AA1" s="202"/>
      <c r="AB1" s="564"/>
      <c r="AC1" s="588" t="s">
        <v>490</v>
      </c>
      <c r="AD1" s="194" t="s">
        <v>182</v>
      </c>
      <c r="AE1" s="377" t="s">
        <v>349</v>
      </c>
      <c r="AF1" s="429" t="s">
        <v>420</v>
      </c>
      <c r="AG1" s="377" t="s">
        <v>351</v>
      </c>
      <c r="AI1" s="194" t="s">
        <v>16</v>
      </c>
      <c r="AJ1" s="377" t="s">
        <v>350</v>
      </c>
      <c r="AK1" s="429" t="s">
        <v>420</v>
      </c>
      <c r="AL1" s="377" t="s">
        <v>351</v>
      </c>
      <c r="AN1" s="20">
        <f>COUNTIF(F2:F151,-10)</f>
        <v>8</v>
      </c>
    </row>
    <row r="2" spans="1:40" ht="13.9" thickTop="1" thickBot="1">
      <c r="A2" s="433" t="str">
        <f>Results!B2</f>
        <v>Alan Bond</v>
      </c>
      <c r="B2" s="449" t="str">
        <f>IF(J2="","",TRIM(CLEAN(J2)))</f>
        <v>Shrewsbury draw</v>
      </c>
      <c r="C2" s="505">
        <f>IF(J2="","",INDEX(Odds!C:C,MATCH(J2,Odds!G:G,0)))</f>
        <v>6</v>
      </c>
      <c r="D2" s="434">
        <f>IF(J2="","",L2)</f>
        <v>3.5</v>
      </c>
      <c r="E2" s="452" t="str">
        <f>IF(J2="","",IF(M2=1,"√","x"))</f>
        <v>√</v>
      </c>
      <c r="F2" s="375">
        <f>IF(J2="",-10,INDEX(Results!T:T,MATCH(A2,Results!V:V,0)))</f>
        <v>-3.5</v>
      </c>
      <c r="G2" s="186">
        <f>IF(J2="","",INDEX(Results!AI:AI,MATCH(A2,Results!V:V,0)))</f>
        <v>93.43</v>
      </c>
      <c r="H2" s="204">
        <f>IF(G2="",0,1)</f>
        <v>1</v>
      </c>
      <c r="I2" s="372">
        <f>INDEX(Picks!AG:AG,MATCH(A2,Picks!AD:AD,0))</f>
        <v>18</v>
      </c>
      <c r="J2" s="435" t="s">
        <v>655</v>
      </c>
      <c r="K2" s="187" t="str">
        <f>INDEX(Odds!H:H,MATCH(J2,Odds!G:G,0))</f>
        <v>5/2</v>
      </c>
      <c r="L2" s="436">
        <f>INDEX(Odds!I:I,MATCH(J2,Odds!G:G,0))</f>
        <v>3.5</v>
      </c>
      <c r="M2" s="437">
        <f>INDEX(Odds!J:J,MATCH(J2,Odds!G:G,0))</f>
        <v>1</v>
      </c>
      <c r="N2" s="438">
        <f>L2*M2</f>
        <v>3.5</v>
      </c>
      <c r="O2" s="560"/>
      <c r="P2" s="557" t="str">
        <f>IF(Match!B2="","",Match!V2)</f>
        <v xml:space="preserve">Blackburn 0-1 Ipswich </v>
      </c>
      <c r="Q2" s="88"/>
      <c r="R2" s="37" t="str">
        <f>IF(Odds!G2="","",Odds!G2)</f>
        <v>Blackburn</v>
      </c>
      <c r="S2" s="38" t="str">
        <f>INDEX(Odds!H:H,MATCH(R2,Odds!G:G,0))</f>
        <v>14/5</v>
      </c>
      <c r="T2" s="39">
        <f t="shared" ref="T2:T46" si="0">IF(V2&gt;X2,1,0)</f>
        <v>0</v>
      </c>
      <c r="U2" s="20" t="str">
        <f>INDEX(Match!Q:Q,MATCH(P2,Match!V:V,0))</f>
        <v>Blackburn</v>
      </c>
      <c r="V2" s="20">
        <f>INDEX(Match!G:G,MATCH(P2,Match!V:V,0))</f>
        <v>0</v>
      </c>
      <c r="W2" s="20" t="str">
        <f>INDEX(Match!R:R,MATCH(P2,Match!V:V,0))</f>
        <v>Ipswich</v>
      </c>
      <c r="X2" s="20">
        <f>INDEX(Match!H:H,MATCH(P2,Match!V:V,0))</f>
        <v>1</v>
      </c>
      <c r="AB2" s="565" t="str">
        <f>IF(O2="","",INDEX(Odds!H:H,MATCH(O2,Odds!G:G,0)))</f>
        <v/>
      </c>
      <c r="AC2" s="586">
        <f>IF(J2="","",INDEX(Odds!K:K,MATCH(J2,Odds!G:G,0)))</f>
        <v>1</v>
      </c>
      <c r="AD2" s="69" t="s">
        <v>362</v>
      </c>
      <c r="AE2" s="72">
        <f>INDEX(Picks!F:F,MATCH(AD2,Picks!A:A,0))</f>
        <v>62.2</v>
      </c>
      <c r="AF2" s="430">
        <f>INDEX(Weekly!I:I,MATCH(AD2,Weekly!E:E,0))</f>
        <v>3</v>
      </c>
      <c r="AG2" s="69">
        <f>IF(AE2=-10,"",_xlfn.RANK.EQ(AE2,TopScores,0))</f>
        <v>1</v>
      </c>
      <c r="AI2" s="71" t="s">
        <v>507</v>
      </c>
      <c r="AJ2" s="72" t="str">
        <f>INDEX(Picks!G:G,MATCH(AI2,Picks!A:A,0))</f>
        <v/>
      </c>
      <c r="AK2" s="430">
        <f>INDEX(Weekly!I:I,MATCH(AI2,Weekly!E:E,0))</f>
        <v>0</v>
      </c>
      <c r="AL2" s="69" t="str">
        <f>IF(AJ2="","",_xlfn.RANK.EQ(AJ2,TopMaxScores,0))</f>
        <v/>
      </c>
    </row>
    <row r="3" spans="1:40">
      <c r="A3" s="623" t="str">
        <f>A2</f>
        <v>Alan Bond</v>
      </c>
      <c r="B3" s="439" t="str">
        <f t="shared" ref="B3:B59" si="1">IF(J3="","",J3)</f>
        <v>Accrington draw</v>
      </c>
      <c r="C3" s="505">
        <f>IF(J3="","",INDEX(Odds!C:C,MATCH(J3,Odds!G:G,0)))</f>
        <v>6</v>
      </c>
      <c r="D3" s="440">
        <f t="shared" ref="D3:D60" si="2">IF(J3="","",L3)</f>
        <v>3.6</v>
      </c>
      <c r="E3" s="453" t="str">
        <f t="shared" ref="E3:E66" si="3">IF(J3="","",IF(M3=1,"√","x"))</f>
        <v>x</v>
      </c>
      <c r="F3" s="441"/>
      <c r="G3" s="442"/>
      <c r="H3" s="204"/>
      <c r="I3" s="373"/>
      <c r="J3" s="435" t="s">
        <v>656</v>
      </c>
      <c r="K3" s="188" t="str">
        <f>INDEX(Odds!H:H,MATCH(J3,Odds!G:G,0))</f>
        <v>13/5</v>
      </c>
      <c r="L3" s="443">
        <f>INDEX(Odds!I:I,MATCH(J3,Odds!G:G,0))</f>
        <v>3.6</v>
      </c>
      <c r="M3" s="437">
        <f>INDEX(Odds!J:J,MATCH(J3,Odds!G:G,0))</f>
        <v>0</v>
      </c>
      <c r="N3" s="438">
        <f>L3*M3</f>
        <v>0</v>
      </c>
      <c r="O3" s="561"/>
      <c r="P3" s="558" t="str">
        <f>IF(Match!B3="","",Match!V3)</f>
        <v xml:space="preserve">Bristol C 1-0 Leicester </v>
      </c>
      <c r="Q3" s="88"/>
      <c r="R3" s="35" t="str">
        <f>IF(Odds!G3="","",Odds!G3)</f>
        <v>Bristol C</v>
      </c>
      <c r="S3" s="36" t="str">
        <f>INDEX(Odds!H:H,MATCH(R3,Odds!G:G,0))</f>
        <v>17/5</v>
      </c>
      <c r="T3" s="40">
        <f t="shared" si="0"/>
        <v>1</v>
      </c>
      <c r="U3" s="20" t="str">
        <f>INDEX(Match!Q:Q,MATCH(P3,Match!V:V,0))</f>
        <v>Bristol C</v>
      </c>
      <c r="V3" s="20">
        <f>INDEX(Match!G:G,MATCH(P3,Match!V:V,0))</f>
        <v>1</v>
      </c>
      <c r="W3" s="20" t="str">
        <f>INDEX(Match!R:R,MATCH(P3,Match!V:V,0))</f>
        <v>Leicester</v>
      </c>
      <c r="X3" s="20">
        <f>INDEX(Match!H:H,MATCH(P3,Match!V:V,0))</f>
        <v>0</v>
      </c>
      <c r="AB3" s="565" t="str">
        <f>IF(O3="","",INDEX(Odds!H:H,MATCH(O3,Odds!G:G,0)))</f>
        <v/>
      </c>
      <c r="AC3" s="586">
        <f>IF(J3="","",INDEX(Odds!K:K,MATCH(J3,Odds!G:G,0)))</f>
        <v>1</v>
      </c>
      <c r="AD3" s="69" t="s">
        <v>288</v>
      </c>
      <c r="AE3" s="72">
        <f>INDEX(Picks!F:F,MATCH(AD3,Picks!A:A,0))</f>
        <v>14</v>
      </c>
      <c r="AF3" s="430">
        <f>INDEX(Weekly!I:I,MATCH(AD3,Weekly!E:E,0))</f>
        <v>2</v>
      </c>
      <c r="AG3" s="69">
        <f>IF(AE3=-10,"",_xlfn.RANK.EQ(AE3,TopScores,0))</f>
        <v>2</v>
      </c>
      <c r="AI3" s="71" t="s">
        <v>508</v>
      </c>
      <c r="AJ3" s="72" t="str">
        <f>INDEX(Picks!G:G,MATCH(AI3,Picks!A:A,0))</f>
        <v/>
      </c>
      <c r="AK3" s="430">
        <f>INDEX(Weekly!I:I,MATCH(AI3,Weekly!E:E,0))</f>
        <v>0</v>
      </c>
      <c r="AL3" s="69" t="str">
        <f>IF(AJ3="","",_xlfn.RANK.EQ(AJ3,TopMaxScores,0))</f>
        <v/>
      </c>
    </row>
    <row r="4" spans="1:40" ht="13.5" thickBot="1">
      <c r="A4" s="624" t="str">
        <f>A2</f>
        <v>Alan Bond</v>
      </c>
      <c r="B4" s="444" t="str">
        <f t="shared" si="1"/>
        <v>Swindon draw</v>
      </c>
      <c r="C4" s="506">
        <f>IF(J4="","",INDEX(Odds!C:C,MATCH(J4,Odds!G:G,0)))</f>
        <v>6</v>
      </c>
      <c r="D4" s="445">
        <f t="shared" si="2"/>
        <v>3.9</v>
      </c>
      <c r="E4" s="453" t="str">
        <f t="shared" si="3"/>
        <v>x</v>
      </c>
      <c r="F4" s="441"/>
      <c r="G4" s="442"/>
      <c r="H4" s="204"/>
      <c r="I4" s="373"/>
      <c r="J4" s="446" t="s">
        <v>657</v>
      </c>
      <c r="K4" s="189" t="str">
        <f>INDEX(Odds!H:H,MATCH(J4,Odds!G:G,0))</f>
        <v>29/10</v>
      </c>
      <c r="L4" s="447">
        <f>INDEX(Odds!I:I,MATCH(J4,Odds!G:G,0))</f>
        <v>3.9</v>
      </c>
      <c r="M4" s="437">
        <f>INDEX(Odds!J:J,MATCH(J4,Odds!G:G,0))</f>
        <v>0</v>
      </c>
      <c r="N4" s="448">
        <f>L4*M4</f>
        <v>0</v>
      </c>
      <c r="O4" s="562"/>
      <c r="P4" s="558" t="str">
        <f>IF(Match!B4="","",Match!V4)</f>
        <v xml:space="preserve">Cardiff 0-2 Sunderland </v>
      </c>
      <c r="Q4" s="88"/>
      <c r="R4" s="35" t="str">
        <f>IF(Odds!G4="","",Odds!G4)</f>
        <v>Cardiff</v>
      </c>
      <c r="S4" s="36" t="str">
        <f>INDEX(Odds!H:H,MATCH(R4,Odds!G:G,0))</f>
        <v>8/5</v>
      </c>
      <c r="T4" s="40">
        <f t="shared" si="0"/>
        <v>0</v>
      </c>
      <c r="U4" s="20" t="str">
        <f>INDEX(Match!Q:Q,MATCH(P4,Match!V:V,0))</f>
        <v>Cardiff</v>
      </c>
      <c r="V4" s="20">
        <f>INDEX(Match!G:G,MATCH(P4,Match!V:V,0))</f>
        <v>0</v>
      </c>
      <c r="W4" s="20" t="str">
        <f>INDEX(Match!R:R,MATCH(P4,Match!V:V,0))</f>
        <v>Sunderland</v>
      </c>
      <c r="X4" s="20">
        <f>INDEX(Match!H:H,MATCH(P4,Match!V:V,0))</f>
        <v>2</v>
      </c>
      <c r="AB4" s="566" t="str">
        <f>IF(O4="","",INDEX(Odds!H:H,MATCH(O4,Odds!G:G,0)))</f>
        <v/>
      </c>
      <c r="AC4" s="586">
        <f>IF(J4="","",INDEX(Odds!K:K,MATCH(J4,Odds!G:G,0)))</f>
        <v>1</v>
      </c>
      <c r="AD4" s="592" t="s">
        <v>304</v>
      </c>
      <c r="AE4" s="72">
        <f>INDEX(Picks!F:F,MATCH(AD4,Picks!A:A,0))</f>
        <v>14</v>
      </c>
      <c r="AF4" s="430">
        <f>INDEX(Weekly!I:I,MATCH(AD4,Weekly!E:E,0))</f>
        <v>2</v>
      </c>
      <c r="AG4" s="69">
        <f>IF(AE4=-10,"",_xlfn.RANK.EQ(AE4,TopScores,0))</f>
        <v>2</v>
      </c>
      <c r="AI4" s="69" t="s">
        <v>515</v>
      </c>
      <c r="AJ4" s="72" t="str">
        <f>INDEX(Picks!G:G,MATCH(AI4,Picks!A:A,0))</f>
        <v/>
      </c>
      <c r="AK4" s="430">
        <f>INDEX(Weekly!I:I,MATCH(AI4,Weekly!E:E,0))</f>
        <v>0</v>
      </c>
      <c r="AL4" s="69" t="str">
        <f>IF(AJ4="","",_xlfn.RANK.EQ(AJ4,TopMaxScores,0))</f>
        <v/>
      </c>
    </row>
    <row r="5" spans="1:40" ht="13.9" thickTop="1" thickBot="1">
      <c r="A5" s="433" t="str">
        <f>Results!B5</f>
        <v>Alan Rogers</v>
      </c>
      <c r="B5" s="449" t="str">
        <f>IF(J5="","",J5)</f>
        <v>Exeter draw</v>
      </c>
      <c r="C5" s="505">
        <f>IF(J5="","",INDEX(Odds!C:C,MATCH(J5,Odds!G:G,0)))</f>
        <v>6</v>
      </c>
      <c r="D5" s="434">
        <f t="shared" si="2"/>
        <v>3.4</v>
      </c>
      <c r="E5" s="452" t="str">
        <f t="shared" si="3"/>
        <v>√</v>
      </c>
      <c r="F5" s="375">
        <f>IF(J5="",-10,INDEX(Results!T:T,MATCH(A5,Results!V:V,0)))</f>
        <v>-3.6</v>
      </c>
      <c r="G5" s="186">
        <f>IF(J5="","",INDEX(Results!AI:AI,MATCH(A5,Results!V:V,0)))</f>
        <v>66.25</v>
      </c>
      <c r="H5" s="204">
        <f>IF(G5="",0,1)</f>
        <v>1</v>
      </c>
      <c r="I5" s="372">
        <f>INDEX(Picks!AG:AG,MATCH(A5,Picks!AD:AD,0))</f>
        <v>19</v>
      </c>
      <c r="J5" s="435" t="s">
        <v>652</v>
      </c>
      <c r="K5" s="187" t="str">
        <f>INDEX(Odds!H:H,MATCH(J5,Odds!G:G,0))</f>
        <v>12/5</v>
      </c>
      <c r="L5" s="436">
        <f>INDEX(Odds!I:I,MATCH(J5,Odds!G:G,0))</f>
        <v>3.4</v>
      </c>
      <c r="M5" s="450">
        <f>INDEX(Odds!J:J,MATCH(J5,Odds!G:G,0))</f>
        <v>1</v>
      </c>
      <c r="N5" s="438">
        <f t="shared" ref="N5:N61" si="4">L5*M5</f>
        <v>3.4</v>
      </c>
      <c r="O5" s="561"/>
      <c r="P5" s="558" t="str">
        <f>IF(Match!B5="","",Match!V5)</f>
        <v xml:space="preserve">Huddersfield 1-3 Coventry </v>
      </c>
      <c r="Q5" s="88"/>
      <c r="R5" s="35" t="str">
        <f>IF(Odds!G5="","",Odds!G5)</f>
        <v>Huddersfield</v>
      </c>
      <c r="S5" s="36" t="str">
        <f>INDEX(Odds!H:H,MATCH(R5,Odds!G:G,0))</f>
        <v>19/10</v>
      </c>
      <c r="T5" s="40">
        <f t="shared" si="0"/>
        <v>0</v>
      </c>
      <c r="U5" s="20" t="str">
        <f>INDEX(Match!Q:Q,MATCH(P5,Match!V:V,0))</f>
        <v>Huddersfield</v>
      </c>
      <c r="V5" s="20">
        <f>INDEX(Match!G:G,MATCH(P5,Match!V:V,0))</f>
        <v>1</v>
      </c>
      <c r="W5" s="20" t="str">
        <f>INDEX(Match!R:R,MATCH(P5,Match!V:V,0))</f>
        <v>Coventry</v>
      </c>
      <c r="X5" s="20">
        <f>INDEX(Match!H:H,MATCH(P5,Match!V:V,0))</f>
        <v>3</v>
      </c>
      <c r="AB5" s="565" t="str">
        <f>IF(O5="","",INDEX(Odds!H:H,MATCH(O5,Odds!G:G,0)))</f>
        <v/>
      </c>
      <c r="AC5" s="586">
        <f>IF(J5="","",INDEX(Odds!K:K,MATCH(J5,Odds!G:G,0)))</f>
        <v>1</v>
      </c>
      <c r="AD5" s="69" t="s">
        <v>365</v>
      </c>
      <c r="AE5" s="72">
        <f>INDEX(Picks!F:F,MATCH(AD5,Picks!A:A,0))</f>
        <v>12.139999999999997</v>
      </c>
      <c r="AF5" s="430">
        <f>INDEX(Weekly!I:I,MATCH(AD5,Weekly!E:E,0))</f>
        <v>3</v>
      </c>
      <c r="AG5" s="69">
        <f>IF(AE5=-10,"",_xlfn.RANK.EQ(AE5,TopScores,0))</f>
        <v>4</v>
      </c>
      <c r="AI5" s="69" t="s">
        <v>506</v>
      </c>
      <c r="AJ5" s="72" t="str">
        <f>INDEX(Picks!G:G,MATCH(AI5,Picks!A:A,0))</f>
        <v/>
      </c>
      <c r="AK5" s="430">
        <f>INDEX(Weekly!I:I,MATCH(AI5,Weekly!E:E,0))</f>
        <v>0</v>
      </c>
      <c r="AL5" s="69" t="str">
        <f>IF(AJ5="","",_xlfn.RANK.EQ(AJ5,TopMaxScores,0))</f>
        <v/>
      </c>
    </row>
    <row r="6" spans="1:40">
      <c r="A6" s="623" t="str">
        <f>A5</f>
        <v>Alan Rogers</v>
      </c>
      <c r="B6" s="439" t="str">
        <f t="shared" si="1"/>
        <v>Tranmere</v>
      </c>
      <c r="C6" s="505">
        <f>IF(J6="","",INDEX(Odds!C:C,MATCH(J6,Odds!G:G,0)))</f>
        <v>6</v>
      </c>
      <c r="D6" s="440">
        <f t="shared" si="2"/>
        <v>3.5</v>
      </c>
      <c r="E6" s="453" t="str">
        <f t="shared" si="3"/>
        <v>x</v>
      </c>
      <c r="F6" s="441"/>
      <c r="G6" s="442"/>
      <c r="H6" s="204"/>
      <c r="I6" s="373"/>
      <c r="J6" s="435" t="s">
        <v>584</v>
      </c>
      <c r="K6" s="188" t="str">
        <f>INDEX(Odds!H:H,MATCH(J6,Odds!G:G,0))</f>
        <v>5/2</v>
      </c>
      <c r="L6" s="443">
        <f>INDEX(Odds!I:I,MATCH(J6,Odds!G:G,0))</f>
        <v>3.5</v>
      </c>
      <c r="M6" s="437">
        <f>INDEX(Odds!J:J,MATCH(J6,Odds!G:G,0))</f>
        <v>0</v>
      </c>
      <c r="N6" s="438">
        <f t="shared" si="4"/>
        <v>0</v>
      </c>
      <c r="O6" s="561"/>
      <c r="P6" s="558" t="str">
        <f>IF(Match!B6="","",Match!V6)</f>
        <v xml:space="preserve">Hull 0-2 Stoke </v>
      </c>
      <c r="Q6" s="88"/>
      <c r="R6" s="35" t="str">
        <f>IF(Odds!G6="","",Odds!G6)</f>
        <v>Hull</v>
      </c>
      <c r="S6" s="36" t="str">
        <f>INDEX(Odds!H:H,MATCH(R6,Odds!G:G,0))</f>
        <v>10/11</v>
      </c>
      <c r="T6" s="40">
        <f t="shared" si="0"/>
        <v>0</v>
      </c>
      <c r="U6" s="20" t="str">
        <f>INDEX(Match!Q:Q,MATCH(P6,Match!V:V,0))</f>
        <v>Hull</v>
      </c>
      <c r="V6" s="20">
        <f>INDEX(Match!G:G,MATCH(P6,Match!V:V,0))</f>
        <v>0</v>
      </c>
      <c r="W6" s="20" t="str">
        <f>INDEX(Match!R:R,MATCH(P6,Match!V:V,0))</f>
        <v>Stoke</v>
      </c>
      <c r="X6" s="20">
        <f>INDEX(Match!H:H,MATCH(P6,Match!V:V,0))</f>
        <v>2</v>
      </c>
      <c r="AB6" s="565" t="str">
        <f>IF(O6="","",INDEX(Odds!H:H,MATCH(O6,Odds!G:G,0)))</f>
        <v/>
      </c>
      <c r="AC6" s="586">
        <f>IF(J6="","",INDEX(Odds!K:K,MATCH(J6,Odds!G:G,0)))</f>
        <v>1</v>
      </c>
      <c r="AD6" s="69" t="s">
        <v>277</v>
      </c>
      <c r="AE6" s="72">
        <f>INDEX(Picks!F:F,MATCH(AD6,Picks!A:A,0))</f>
        <v>10.683333333333334</v>
      </c>
      <c r="AF6" s="430">
        <f>INDEX(Weekly!I:I,MATCH(AD6,Weekly!E:E,0))</f>
        <v>3</v>
      </c>
      <c r="AG6" s="69">
        <f>IF(AE6=-10,"",_xlfn.RANK.EQ(AE6,TopScores,0))</f>
        <v>5</v>
      </c>
      <c r="AI6" s="71" t="s">
        <v>529</v>
      </c>
      <c r="AJ6" s="72" t="str">
        <f>INDEX(Picks!G:G,MATCH(AI6,Picks!A:A,0))</f>
        <v/>
      </c>
      <c r="AK6" s="430">
        <f>INDEX(Weekly!I:I,MATCH(AI6,Weekly!E:E,0))</f>
        <v>0</v>
      </c>
      <c r="AL6" s="69" t="str">
        <f>IF(AJ6="","",_xlfn.RANK.EQ(AJ6,TopMaxScores,0))</f>
        <v/>
      </c>
    </row>
    <row r="7" spans="1:40" ht="13.5" thickBot="1">
      <c r="A7" s="624" t="str">
        <f>A5</f>
        <v>Alan Rogers</v>
      </c>
      <c r="B7" s="444" t="str">
        <f t="shared" si="1"/>
        <v>Mansfield</v>
      </c>
      <c r="C7" s="506">
        <f>IF(J7="","",INDEX(Odds!C:C,MATCH(J7,Odds!G:G,0)))</f>
        <v>6</v>
      </c>
      <c r="D7" s="445">
        <f t="shared" si="2"/>
        <v>2.75</v>
      </c>
      <c r="E7" s="453" t="str">
        <f t="shared" si="3"/>
        <v>x</v>
      </c>
      <c r="F7" s="441"/>
      <c r="G7" s="442"/>
      <c r="H7" s="204"/>
      <c r="I7" s="373"/>
      <c r="J7" s="446" t="s">
        <v>586</v>
      </c>
      <c r="K7" s="189" t="str">
        <f>INDEX(Odds!H:H,MATCH(J7,Odds!G:G,0))</f>
        <v>7/4</v>
      </c>
      <c r="L7" s="447">
        <f>INDEX(Odds!I:I,MATCH(J7,Odds!G:G,0))</f>
        <v>2.75</v>
      </c>
      <c r="M7" s="437">
        <f>INDEX(Odds!J:J,MATCH(J7,Odds!G:G,0))</f>
        <v>0</v>
      </c>
      <c r="N7" s="448">
        <f t="shared" si="4"/>
        <v>0</v>
      </c>
      <c r="O7" s="562"/>
      <c r="P7" s="558" t="str">
        <f>IF(Match!B7="","",Match!V7)</f>
        <v xml:space="preserve">Millwall 1-1 West Brom </v>
      </c>
      <c r="Q7" s="88"/>
      <c r="R7" s="35" t="str">
        <f>IF(Odds!G7="","",Odds!G7)</f>
        <v>Millwall</v>
      </c>
      <c r="S7" s="36" t="str">
        <f>INDEX(Odds!H:H,MATCH(R7,Odds!G:G,0))</f>
        <v>11/5</v>
      </c>
      <c r="T7" s="40">
        <f t="shared" si="0"/>
        <v>0</v>
      </c>
      <c r="U7" s="20" t="str">
        <f>INDEX(Match!Q:Q,MATCH(P7,Match!V:V,0))</f>
        <v>Millwall</v>
      </c>
      <c r="V7" s="20">
        <f>INDEX(Match!G:G,MATCH(P7,Match!V:V,0))</f>
        <v>1</v>
      </c>
      <c r="W7" s="20" t="str">
        <f>INDEX(Match!R:R,MATCH(P7,Match!V:V,0))</f>
        <v>West Brom</v>
      </c>
      <c r="X7" s="20">
        <f>INDEX(Match!H:H,MATCH(P7,Match!V:V,0))</f>
        <v>1</v>
      </c>
      <c r="AB7" s="566" t="str">
        <f>IF(O7="","",INDEX(Odds!H:H,MATCH(O7,Odds!G:G,0)))</f>
        <v/>
      </c>
      <c r="AC7" s="586">
        <f>IF(J7="","",INDEX(Odds!K:K,MATCH(J7,Odds!G:G,0)))</f>
        <v>1</v>
      </c>
      <c r="AD7" s="69" t="s">
        <v>292</v>
      </c>
      <c r="AE7" s="72">
        <f>INDEX(Picks!F:F,MATCH(AD7,Picks!A:A,0))</f>
        <v>7.5</v>
      </c>
      <c r="AF7" s="430">
        <f>INDEX(Weekly!I:I,MATCH(AD7,Weekly!E:E,0))</f>
        <v>2</v>
      </c>
      <c r="AG7" s="69">
        <f>IF(AE7=-10,"",_xlfn.RANK.EQ(AE7,TopScores,0))</f>
        <v>6</v>
      </c>
      <c r="AI7" s="71" t="s">
        <v>359</v>
      </c>
      <c r="AJ7" s="72" t="str">
        <f>INDEX(Picks!G:G,MATCH(AI7,Picks!A:A,0))</f>
        <v/>
      </c>
      <c r="AK7" s="430">
        <f>INDEX(Weekly!I:I,MATCH(AI7,Weekly!E:E,0))</f>
        <v>0</v>
      </c>
      <c r="AL7" s="69" t="str">
        <f>IF(AJ7="","",_xlfn.RANK.EQ(AJ7,TopMaxScores,0))</f>
        <v/>
      </c>
    </row>
    <row r="8" spans="1:40" ht="13.9" thickTop="1" thickBot="1">
      <c r="A8" s="433" t="str">
        <f>Results!B8</f>
        <v>Alan White</v>
      </c>
      <c r="B8" s="449" t="str">
        <f t="shared" si="1"/>
        <v>Man C</v>
      </c>
      <c r="C8" s="505">
        <f>IF(J8="","",INDEX(Odds!C:C,MATCH(J8,Odds!G:G,0)))</f>
        <v>1</v>
      </c>
      <c r="D8" s="434">
        <f t="shared" si="2"/>
        <v>1.8333333333333335</v>
      </c>
      <c r="E8" s="452" t="str">
        <f t="shared" si="3"/>
        <v>x</v>
      </c>
      <c r="F8" s="375">
        <f>IF(J8="",-10,INDEX(Results!T:T,MATCH(A8,Results!V:V,0)))</f>
        <v>-4.9000000000000004</v>
      </c>
      <c r="G8" s="186">
        <f>IF(J8="","",INDEX(Results!AI:AI,MATCH(A8,Results!V:V,0)))</f>
        <v>20.106666666666673</v>
      </c>
      <c r="H8" s="204">
        <f>IF(G8="",0,1)</f>
        <v>1</v>
      </c>
      <c r="I8" s="372">
        <f>INDEX(Picks!AG:AG,MATCH(A8,Picks!AD:AD,0))</f>
        <v>25</v>
      </c>
      <c r="J8" s="435" t="s">
        <v>650</v>
      </c>
      <c r="K8" s="187" t="str">
        <f>INDEX(Odds!H:H,MATCH(J8,Odds!G:G,0))</f>
        <v>5/6</v>
      </c>
      <c r="L8" s="436">
        <f>INDEX(Odds!I:I,MATCH(J8,Odds!G:G,0))</f>
        <v>1.8333333333333335</v>
      </c>
      <c r="M8" s="450">
        <f>INDEX(Odds!J:J,MATCH(J8,Odds!G:G,0))</f>
        <v>0</v>
      </c>
      <c r="N8" s="438">
        <f t="shared" si="4"/>
        <v>0</v>
      </c>
      <c r="O8" s="561"/>
      <c r="P8" s="558" t="str">
        <f>IF(Match!B8="","",Match!V8)</f>
        <v xml:space="preserve">Norwich 2-1 Plymouth </v>
      </c>
      <c r="Q8" s="88"/>
      <c r="R8" s="35" t="str">
        <f>IF(Odds!G8="","",Odds!G8)</f>
        <v>Norwich</v>
      </c>
      <c r="S8" s="36" t="str">
        <f>INDEX(Odds!H:H,MATCH(R8,Odds!G:G,0))</f>
        <v>1/2</v>
      </c>
      <c r="T8" s="40">
        <f t="shared" si="0"/>
        <v>1</v>
      </c>
      <c r="U8" s="20" t="str">
        <f>INDEX(Match!Q:Q,MATCH(P8,Match!V:V,0))</f>
        <v>Norwich</v>
      </c>
      <c r="V8" s="20">
        <f>INDEX(Match!G:G,MATCH(P8,Match!V:V,0))</f>
        <v>2</v>
      </c>
      <c r="W8" s="20" t="str">
        <f>INDEX(Match!R:R,MATCH(P8,Match!V:V,0))</f>
        <v>Plymouth</v>
      </c>
      <c r="X8" s="20">
        <f>INDEX(Match!H:H,MATCH(P8,Match!V:V,0))</f>
        <v>1</v>
      </c>
      <c r="AB8" s="565" t="str">
        <f>IF(O8="","",INDEX(Odds!H:H,MATCH(O8,Odds!G:G,0)))</f>
        <v/>
      </c>
      <c r="AC8" s="586">
        <f>IF(J8="","",INDEX(Odds!K:K,MATCH(J8,Odds!G:G,0)))</f>
        <v>1</v>
      </c>
      <c r="AD8" s="69" t="s">
        <v>287</v>
      </c>
      <c r="AE8" s="72">
        <f>INDEX(Picks!F:F,MATCH(AD8,Picks!A:A,0))</f>
        <v>2.125</v>
      </c>
      <c r="AF8" s="430">
        <f>INDEX(Weekly!I:I,MATCH(AD8,Weekly!E:E,0))</f>
        <v>2</v>
      </c>
      <c r="AG8" s="69">
        <f>IF(AE8=-10,"",_xlfn.RANK.EQ(AE8,TopScores,0))</f>
        <v>7</v>
      </c>
      <c r="AI8" s="71" t="s">
        <v>364</v>
      </c>
      <c r="AJ8" s="72" t="str">
        <f>INDEX(Picks!G:G,MATCH(AI8,Picks!A:A,0))</f>
        <v/>
      </c>
      <c r="AK8" s="430">
        <f>INDEX(Weekly!I:I,MATCH(AI8,Weekly!E:E,0))</f>
        <v>0</v>
      </c>
      <c r="AL8" s="69" t="str">
        <f>IF(AJ8="","",_xlfn.RANK.EQ(AJ8,TopMaxScores,0))</f>
        <v/>
      </c>
    </row>
    <row r="9" spans="1:40" ht="13.5" customHeight="1">
      <c r="A9" s="623" t="str">
        <f>A8</f>
        <v>Alan White</v>
      </c>
      <c r="B9" s="439" t="str">
        <f t="shared" si="1"/>
        <v>Bournemouth</v>
      </c>
      <c r="C9" s="505">
        <f>IF(J9="","",INDEX(Odds!C:C,MATCH(J9,Odds!G:G,0)))</f>
        <v>7</v>
      </c>
      <c r="D9" s="440">
        <f t="shared" si="2"/>
        <v>2.1</v>
      </c>
      <c r="E9" s="453" t="str">
        <f t="shared" si="3"/>
        <v>√</v>
      </c>
      <c r="F9" s="441"/>
      <c r="G9" s="442"/>
      <c r="H9" s="204"/>
      <c r="I9" s="373"/>
      <c r="J9" s="435" t="s">
        <v>637</v>
      </c>
      <c r="K9" s="188" t="str">
        <f>INDEX(Odds!H:H,MATCH(J9,Odds!G:G,0))</f>
        <v>11/10</v>
      </c>
      <c r="L9" s="443">
        <f>INDEX(Odds!I:I,MATCH(J9,Odds!G:G,0))</f>
        <v>2.1</v>
      </c>
      <c r="M9" s="437">
        <f>INDEX(Odds!J:J,MATCH(J9,Odds!G:G,0))</f>
        <v>1</v>
      </c>
      <c r="N9" s="438">
        <f t="shared" si="4"/>
        <v>2.1</v>
      </c>
      <c r="O9" s="561"/>
      <c r="P9" s="558" t="str">
        <f>IF(Match!B9="","",Match!V9)</f>
        <v xml:space="preserve">Preston 3-0 Rotherham </v>
      </c>
      <c r="Q9" s="88"/>
      <c r="R9" s="35" t="str">
        <f>IF(Odds!G9="","",Odds!G9)</f>
        <v>Preston</v>
      </c>
      <c r="S9" s="36" t="str">
        <f>INDEX(Odds!H:H,MATCH(R9,Odds!G:G,0))</f>
        <v>8/15</v>
      </c>
      <c r="T9" s="40">
        <f t="shared" si="0"/>
        <v>1</v>
      </c>
      <c r="U9" s="20" t="str">
        <f>INDEX(Match!Q:Q,MATCH(P9,Match!V:V,0))</f>
        <v>Preston</v>
      </c>
      <c r="V9" s="20">
        <f>INDEX(Match!G:G,MATCH(P9,Match!V:V,0))</f>
        <v>3</v>
      </c>
      <c r="W9" s="20" t="str">
        <f>INDEX(Match!R:R,MATCH(P9,Match!V:V,0))</f>
        <v>Rotherham</v>
      </c>
      <c r="X9" s="20">
        <f>INDEX(Match!H:H,MATCH(P9,Match!V:V,0))</f>
        <v>0</v>
      </c>
      <c r="AB9" s="565" t="str">
        <f>IF(O9="","",INDEX(Odds!H:H,MATCH(O9,Odds!G:G,0)))</f>
        <v/>
      </c>
      <c r="AC9" s="586">
        <f>IF(J9="","",INDEX(Odds!K:K,MATCH(J9,Odds!G:G,0)))</f>
        <v>1</v>
      </c>
      <c r="AD9" s="69" t="s">
        <v>272</v>
      </c>
      <c r="AE9" s="72">
        <f>INDEX(Picks!F:F,MATCH(AD9,Picks!A:A,0))</f>
        <v>1.6187500000000004</v>
      </c>
      <c r="AF9" s="430">
        <f>INDEX(Weekly!I:I,MATCH(AD9,Weekly!E:E,0))</f>
        <v>2</v>
      </c>
      <c r="AG9" s="69">
        <f>IF(AE9=-10,"",_xlfn.RANK.EQ(AE9,TopScores,0))</f>
        <v>8</v>
      </c>
      <c r="AI9" s="71" t="s">
        <v>281</v>
      </c>
      <c r="AJ9" s="72" t="str">
        <f>INDEX(Picks!G:G,MATCH(AI9,Picks!A:A,0))</f>
        <v/>
      </c>
      <c r="AK9" s="430">
        <f>INDEX(Weekly!I:I,MATCH(AI9,Weekly!E:E,0))</f>
        <v>0</v>
      </c>
      <c r="AL9" s="69" t="str">
        <f>IF(AJ9="","",_xlfn.RANK.EQ(AJ9,TopMaxScores,0))</f>
        <v/>
      </c>
    </row>
    <row r="10" spans="1:40" ht="13.5" thickBot="1">
      <c r="A10" s="624" t="str">
        <f>A8</f>
        <v>Alan White</v>
      </c>
      <c r="B10" s="444" t="str">
        <f t="shared" si="1"/>
        <v>Forest</v>
      </c>
      <c r="C10" s="506">
        <f>IF(J10="","",INDEX(Odds!C:C,MATCH(J10,Odds!G:G,0)))</f>
        <v>7</v>
      </c>
      <c r="D10" s="445">
        <f t="shared" si="2"/>
        <v>2.2000000000000002</v>
      </c>
      <c r="E10" s="453" t="str">
        <f t="shared" si="3"/>
        <v>x</v>
      </c>
      <c r="F10" s="441"/>
      <c r="G10" s="442"/>
      <c r="H10" s="204"/>
      <c r="I10" s="373"/>
      <c r="J10" s="446" t="s">
        <v>643</v>
      </c>
      <c r="K10" s="189" t="str">
        <f>INDEX(Odds!H:H,MATCH(J10,Odds!G:G,0))</f>
        <v>6/5</v>
      </c>
      <c r="L10" s="447">
        <f>INDEX(Odds!I:I,MATCH(J10,Odds!G:G,0))</f>
        <v>2.2000000000000002</v>
      </c>
      <c r="M10" s="437">
        <f>INDEX(Odds!J:J,MATCH(J10,Odds!G:G,0))</f>
        <v>0</v>
      </c>
      <c r="N10" s="448">
        <f t="shared" si="4"/>
        <v>0</v>
      </c>
      <c r="O10" s="562"/>
      <c r="P10" s="558" t="str">
        <f>IF(Match!B10="","",Match!V10)</f>
        <v xml:space="preserve">QPR 2-1 Birmingham </v>
      </c>
      <c r="Q10" s="88"/>
      <c r="R10" s="35" t="str">
        <f>IF(Odds!G10="","",Odds!G10)</f>
        <v>QPR</v>
      </c>
      <c r="S10" s="36" t="str">
        <f>INDEX(Odds!H:H,MATCH(R10,Odds!G:G,0))</f>
        <v>1/1</v>
      </c>
      <c r="T10" s="40">
        <f t="shared" si="0"/>
        <v>1</v>
      </c>
      <c r="U10" s="20" t="str">
        <f>INDEX(Match!Q:Q,MATCH(P10,Match!V:V,0))</f>
        <v>QPR</v>
      </c>
      <c r="V10" s="20">
        <f>INDEX(Match!G:G,MATCH(P10,Match!V:V,0))</f>
        <v>2</v>
      </c>
      <c r="W10" s="20" t="str">
        <f>INDEX(Match!R:R,MATCH(P10,Match!V:V,0))</f>
        <v>Birmingham</v>
      </c>
      <c r="X10" s="20">
        <f>INDEX(Match!H:H,MATCH(P10,Match!V:V,0))</f>
        <v>1</v>
      </c>
      <c r="AB10" s="566" t="str">
        <f>IF(O10="","",INDEX(Odds!H:H,MATCH(O10,Odds!G:G,0)))</f>
        <v/>
      </c>
      <c r="AC10" s="586">
        <f>IF(J10="","",INDEX(Odds!K:K,MATCH(J10,Odds!G:G,0)))</f>
        <v>1</v>
      </c>
      <c r="AD10" s="69" t="s">
        <v>276</v>
      </c>
      <c r="AE10" s="72">
        <f>INDEX(Picks!F:F,MATCH(AD10,Picks!A:A,0))</f>
        <v>0.83500000000000085</v>
      </c>
      <c r="AF10" s="430">
        <f>INDEX(Weekly!I:I,MATCH(AD10,Weekly!E:E,0))</f>
        <v>2</v>
      </c>
      <c r="AG10" s="69">
        <f>IF(AE10=-10,"",_xlfn.RANK.EQ(AE10,TopScores,0))</f>
        <v>9</v>
      </c>
      <c r="AI10" s="71" t="s">
        <v>368</v>
      </c>
      <c r="AJ10" s="72">
        <f>INDEX(Picks!G:G,MATCH(AI10,Picks!A:A,0))</f>
        <v>927</v>
      </c>
      <c r="AK10" s="430">
        <f>INDEX(Weekly!I:I,MATCH(AI10,Weekly!E:E,0))</f>
        <v>0</v>
      </c>
      <c r="AL10" s="69">
        <f>IF(AJ10="","",_xlfn.RANK.EQ(AJ10,TopMaxScores,0))</f>
        <v>1</v>
      </c>
    </row>
    <row r="11" spans="1:40" ht="13.9" thickTop="1" thickBot="1">
      <c r="A11" s="433" t="str">
        <f>Results!B11</f>
        <v>Alex Griffin</v>
      </c>
      <c r="B11" s="449" t="str">
        <f t="shared" si="1"/>
        <v>Everton</v>
      </c>
      <c r="C11" s="505">
        <f>IF(J11="","",INDEX(Odds!C:C,MATCH(J11,Odds!G:G,0)))</f>
        <v>7</v>
      </c>
      <c r="D11" s="434">
        <f t="shared" si="2"/>
        <v>3.2</v>
      </c>
      <c r="E11" s="452" t="str">
        <f t="shared" si="3"/>
        <v>x</v>
      </c>
      <c r="F11" s="375">
        <f>IF(J11="",-10,INDEX(Results!T:T,MATCH(A11,Results!V:V,0)))</f>
        <v>-7</v>
      </c>
      <c r="G11" s="186">
        <f>IF(J11="","",INDEX(Results!AI:AI,MATCH(A11,Results!V:V,0)))</f>
        <v>97.6</v>
      </c>
      <c r="H11" s="204">
        <f>IF(G11="",0,1)</f>
        <v>1</v>
      </c>
      <c r="I11" s="372">
        <f>INDEX(Picks!AG:AG,MATCH(A11,Picks!AD:AD,0))</f>
        <v>35</v>
      </c>
      <c r="J11" s="435" t="s">
        <v>638</v>
      </c>
      <c r="K11" s="187" t="str">
        <f>INDEX(Odds!H:H,MATCH(J11,Odds!G:G,0))</f>
        <v>11/5</v>
      </c>
      <c r="L11" s="436">
        <f>INDEX(Odds!I:I,MATCH(J11,Odds!G:G,0))</f>
        <v>3.2</v>
      </c>
      <c r="M11" s="450">
        <f>INDEX(Odds!J:J,MATCH(J11,Odds!G:G,0))</f>
        <v>0</v>
      </c>
      <c r="N11" s="438">
        <f t="shared" si="4"/>
        <v>0</v>
      </c>
      <c r="O11" s="561"/>
      <c r="P11" s="558" t="str">
        <f>IF(Match!B11="","",Match!V11)</f>
        <v xml:space="preserve">Sheff W 1-1 Swansea </v>
      </c>
      <c r="Q11" s="88"/>
      <c r="R11" s="35" t="str">
        <f>IF(Odds!G11="","",Odds!G11)</f>
        <v>Sheff W</v>
      </c>
      <c r="S11" s="36" t="str">
        <f>INDEX(Odds!H:H,MATCH(R11,Odds!G:G,0))</f>
        <v>29/20</v>
      </c>
      <c r="T11" s="40">
        <f t="shared" si="0"/>
        <v>0</v>
      </c>
      <c r="U11" s="20" t="str">
        <f>INDEX(Match!Q:Q,MATCH(P11,Match!V:V,0))</f>
        <v>Sheff W</v>
      </c>
      <c r="V11" s="20">
        <f>INDEX(Match!G:G,MATCH(P11,Match!V:V,0))</f>
        <v>1</v>
      </c>
      <c r="W11" s="20" t="str">
        <f>INDEX(Match!R:R,MATCH(P11,Match!V:V,0))</f>
        <v>Swansea</v>
      </c>
      <c r="X11" s="20">
        <f>INDEX(Match!H:H,MATCH(P11,Match!V:V,0))</f>
        <v>1</v>
      </c>
      <c r="AB11" s="565" t="str">
        <f>IF(O11="","",INDEX(Odds!H:H,MATCH(O11,Odds!G:G,0)))</f>
        <v/>
      </c>
      <c r="AC11" s="586">
        <f>IF(J11="","",INDEX(Odds!K:K,MATCH(J11,Odds!G:G,0)))</f>
        <v>1</v>
      </c>
      <c r="AD11" s="69" t="s">
        <v>279</v>
      </c>
      <c r="AE11" s="72">
        <f>INDEX(Picks!F:F,MATCH(AD11,Picks!A:A,0))</f>
        <v>0.83500000000000085</v>
      </c>
      <c r="AF11" s="430">
        <f>INDEX(Weekly!I:I,MATCH(AD11,Weekly!E:E,0))</f>
        <v>2</v>
      </c>
      <c r="AG11" s="69">
        <f>IF(AE11=-10,"",_xlfn.RANK.EQ(AE11,TopScores,0))</f>
        <v>9</v>
      </c>
      <c r="AI11" s="71" t="s">
        <v>302</v>
      </c>
      <c r="AJ11" s="72">
        <f>INDEX(Picks!G:G,MATCH(AI11,Picks!A:A,0))</f>
        <v>454</v>
      </c>
      <c r="AK11" s="430">
        <f>INDEX(Weekly!I:I,MATCH(AI11,Weekly!E:E,0))</f>
        <v>0</v>
      </c>
      <c r="AL11" s="69">
        <f>IF(AJ11="","",_xlfn.RANK.EQ(AJ11,TopMaxScores,0))</f>
        <v>2</v>
      </c>
    </row>
    <row r="12" spans="1:40">
      <c r="A12" s="623" t="str">
        <f>A11</f>
        <v>Alex Griffin</v>
      </c>
      <c r="B12" s="439" t="str">
        <f t="shared" si="1"/>
        <v>Chelsea</v>
      </c>
      <c r="C12" s="505">
        <f>IF(J12="","",INDEX(Odds!C:C,MATCH(J12,Odds!G:G,0)))</f>
        <v>7</v>
      </c>
      <c r="D12" s="440">
        <f t="shared" si="2"/>
        <v>1.2857142857142856</v>
      </c>
      <c r="E12" s="453" t="str">
        <f t="shared" si="3"/>
        <v>x</v>
      </c>
      <c r="F12" s="441"/>
      <c r="G12" s="442"/>
      <c r="H12" s="204"/>
      <c r="I12" s="373"/>
      <c r="J12" s="435" t="s">
        <v>641</v>
      </c>
      <c r="K12" s="188" t="str">
        <f>INDEX(Odds!H:H,MATCH(J12,Odds!G:G,0))</f>
        <v>2/7</v>
      </c>
      <c r="L12" s="443">
        <f>INDEX(Odds!I:I,MATCH(J12,Odds!G:G,0))</f>
        <v>1.2857142857142856</v>
      </c>
      <c r="M12" s="437">
        <f>INDEX(Odds!J:J,MATCH(J12,Odds!G:G,0))</f>
        <v>0</v>
      </c>
      <c r="N12" s="438">
        <f t="shared" si="4"/>
        <v>0</v>
      </c>
      <c r="O12" s="561"/>
      <c r="P12" s="558" t="str">
        <f>IF(Match!B12="","",Match!V12)</f>
        <v xml:space="preserve">Southampton 1-1 Middlesbro </v>
      </c>
      <c r="Q12" s="88"/>
      <c r="R12" s="35" t="str">
        <f>IF(Odds!G12="","",Odds!G12)</f>
        <v>Southampton</v>
      </c>
      <c r="S12" s="36" t="str">
        <f>INDEX(Odds!H:H,MATCH(R12,Odds!G:G,0))</f>
        <v>6/10</v>
      </c>
      <c r="T12" s="40">
        <f t="shared" si="0"/>
        <v>0</v>
      </c>
      <c r="U12" s="20" t="str">
        <f>INDEX(Match!Q:Q,MATCH(P12,Match!V:V,0))</f>
        <v>Southampton</v>
      </c>
      <c r="V12" s="20">
        <f>INDEX(Match!G:G,MATCH(P12,Match!V:V,0))</f>
        <v>1</v>
      </c>
      <c r="W12" s="20" t="str">
        <f>INDEX(Match!R:R,MATCH(P12,Match!V:V,0))</f>
        <v>Middlesbro</v>
      </c>
      <c r="X12" s="20">
        <f>INDEX(Match!H:H,MATCH(P12,Match!V:V,0))</f>
        <v>1</v>
      </c>
      <c r="AB12" s="565" t="str">
        <f>IF(O12="","",INDEX(Odds!H:H,MATCH(O12,Odds!G:G,0)))</f>
        <v/>
      </c>
      <c r="AC12" s="586">
        <f>IF(J12="","",INDEX(Odds!K:K,MATCH(J12,Odds!G:G,0)))</f>
        <v>1</v>
      </c>
      <c r="AD12" s="69" t="s">
        <v>274</v>
      </c>
      <c r="AE12" s="72">
        <f>INDEX(Picks!F:F,MATCH(AD12,Picks!A:A,0))</f>
        <v>0.83500000000000085</v>
      </c>
      <c r="AF12" s="430">
        <f>INDEX(Weekly!I:I,MATCH(AD12,Weekly!E:E,0))</f>
        <v>2</v>
      </c>
      <c r="AG12" s="69">
        <f>IF(AE12=-10,"",_xlfn.RANK.EQ(AE12,TopScores,0))</f>
        <v>9</v>
      </c>
      <c r="AI12" s="71" t="s">
        <v>296</v>
      </c>
      <c r="AJ12" s="72">
        <f>INDEX(Picks!G:G,MATCH(AI12,Picks!A:A,0))</f>
        <v>237.33333333333337</v>
      </c>
      <c r="AK12" s="430">
        <f>INDEX(Weekly!I:I,MATCH(AI12,Weekly!E:E,0))</f>
        <v>0</v>
      </c>
      <c r="AL12" s="69">
        <f>IF(AJ12="","",_xlfn.RANK.EQ(AJ12,TopMaxScores,0))</f>
        <v>3</v>
      </c>
    </row>
    <row r="13" spans="1:40" ht="13.5" thickBot="1">
      <c r="A13" s="624" t="str">
        <f>A11</f>
        <v>Alex Griffin</v>
      </c>
      <c r="B13" s="444" t="str">
        <f>IF(J13="","",J13)</f>
        <v>Luton</v>
      </c>
      <c r="C13" s="506">
        <f>IF(J13="","",INDEX(Odds!C:C,MATCH(J13,Odds!G:G,0)))</f>
        <v>7</v>
      </c>
      <c r="D13" s="445">
        <f t="shared" si="2"/>
        <v>10</v>
      </c>
      <c r="E13" s="453" t="str">
        <f t="shared" si="3"/>
        <v>x</v>
      </c>
      <c r="F13" s="441"/>
      <c r="G13" s="442"/>
      <c r="H13" s="204"/>
      <c r="I13" s="373"/>
      <c r="J13" s="446" t="s">
        <v>646</v>
      </c>
      <c r="K13" s="189" t="str">
        <f>INDEX(Odds!H:H,MATCH(J13,Odds!G:G,0))</f>
        <v>9/1</v>
      </c>
      <c r="L13" s="447">
        <f>INDEX(Odds!I:I,MATCH(J13,Odds!G:G,0))</f>
        <v>10</v>
      </c>
      <c r="M13" s="437">
        <f>INDEX(Odds!J:J,MATCH(J13,Odds!G:G,0))</f>
        <v>0</v>
      </c>
      <c r="N13" s="448">
        <f t="shared" si="4"/>
        <v>0</v>
      </c>
      <c r="O13" s="562"/>
      <c r="P13" s="558" t="str">
        <f>IF(Match!B13="","",Match!V13)</f>
        <v xml:space="preserve">Watford 2-2 Leeds </v>
      </c>
      <c r="Q13" s="88"/>
      <c r="R13" s="35" t="str">
        <f>IF(Odds!G13="","",Odds!G13)</f>
        <v>Watford</v>
      </c>
      <c r="S13" s="36" t="str">
        <f>INDEX(Odds!H:H,MATCH(R13,Odds!G:G,0))</f>
        <v>4/1</v>
      </c>
      <c r="T13" s="40">
        <f t="shared" si="0"/>
        <v>0</v>
      </c>
      <c r="U13" s="20" t="str">
        <f>INDEX(Match!Q:Q,MATCH(P13,Match!V:V,0))</f>
        <v>Watford</v>
      </c>
      <c r="V13" s="20">
        <f>INDEX(Match!G:G,MATCH(P13,Match!V:V,0))</f>
        <v>2</v>
      </c>
      <c r="W13" s="20" t="str">
        <f>INDEX(Match!R:R,MATCH(P13,Match!V:V,0))</f>
        <v>Leeds</v>
      </c>
      <c r="X13" s="20">
        <f>INDEX(Match!H:H,MATCH(P13,Match!V:V,0))</f>
        <v>2</v>
      </c>
      <c r="AB13" s="566" t="str">
        <f>IF(O13="","",INDEX(Odds!H:H,MATCH(O13,Odds!G:G,0)))</f>
        <v/>
      </c>
      <c r="AC13" s="586">
        <f>IF(J13="","",INDEX(Odds!K:K,MATCH(J13,Odds!G:G,0)))</f>
        <v>1</v>
      </c>
      <c r="AD13" s="69" t="s">
        <v>298</v>
      </c>
      <c r="AE13" s="72">
        <f>INDEX(Picks!F:F,MATCH(AD13,Picks!A:A,0))</f>
        <v>0.54999999999999982</v>
      </c>
      <c r="AF13" s="430">
        <f>INDEX(Weekly!I:I,MATCH(AD13,Weekly!E:E,0))</f>
        <v>2</v>
      </c>
      <c r="AG13" s="69">
        <f>IF(AE13=-10,"",_xlfn.RANK.EQ(AE13,TopScores,0))</f>
        <v>12</v>
      </c>
      <c r="AI13" s="71" t="s">
        <v>297</v>
      </c>
      <c r="AJ13" s="72">
        <f>INDEX(Picks!G:G,MATCH(AI13,Picks!A:A,0))</f>
        <v>109.33333333333334</v>
      </c>
      <c r="AK13" s="430">
        <f>INDEX(Weekly!I:I,MATCH(AI13,Weekly!E:E,0))</f>
        <v>1</v>
      </c>
      <c r="AL13" s="69">
        <f>IF(AJ13="","",_xlfn.RANK.EQ(AJ13,TopMaxScores,0))</f>
        <v>4</v>
      </c>
    </row>
    <row r="14" spans="1:40" ht="13.9" thickTop="1" thickBot="1">
      <c r="A14" s="433" t="str">
        <f>Results!B14</f>
        <v>Alfie Davies</v>
      </c>
      <c r="B14" s="449" t="str">
        <f t="shared" si="1"/>
        <v>Leicester</v>
      </c>
      <c r="C14" s="505">
        <f>IF(J14="","",INDEX(Odds!C:C,MATCH(J14,Odds!G:G,0)))</f>
        <v>6</v>
      </c>
      <c r="D14" s="434">
        <f t="shared" si="2"/>
        <v>1.8</v>
      </c>
      <c r="E14" s="452" t="str">
        <f t="shared" si="3"/>
        <v>x</v>
      </c>
      <c r="F14" s="375">
        <f>IF(J14="",-10,INDEX(Results!T:T,MATCH(A14,Results!V:V,0)))</f>
        <v>-7</v>
      </c>
      <c r="G14" s="186">
        <f>IF(J14="","",INDEX(Results!AI:AI,MATCH(A14,Results!V:V,0)))</f>
        <v>11.772307692307692</v>
      </c>
      <c r="H14" s="204">
        <f>IF(G14="",0,1)</f>
        <v>1</v>
      </c>
      <c r="I14" s="372">
        <f>INDEX(Picks!AG:AG,MATCH(A14,Picks!AD:AD,0))</f>
        <v>35</v>
      </c>
      <c r="J14" s="435" t="s">
        <v>601</v>
      </c>
      <c r="K14" s="187" t="str">
        <f>INDEX(Odds!H:H,MATCH(J14,Odds!G:G,0))</f>
        <v>4/5</v>
      </c>
      <c r="L14" s="436">
        <f>INDEX(Odds!I:I,MATCH(J14,Odds!G:G,0))</f>
        <v>1.8</v>
      </c>
      <c r="M14" s="450">
        <f>INDEX(Odds!J:J,MATCH(J14,Odds!G:G,0))</f>
        <v>0</v>
      </c>
      <c r="N14" s="438">
        <f t="shared" si="4"/>
        <v>0</v>
      </c>
      <c r="O14" s="561"/>
      <c r="P14" s="558" t="str">
        <f>IF(Match!B14="","",Match!V14)</f>
        <v xml:space="preserve">Barnsley 0-2 Cambridge </v>
      </c>
      <c r="Q14" s="88"/>
      <c r="R14" s="35" t="str">
        <f>IF(Odds!G14="","",Odds!G14)</f>
        <v>Barnsley</v>
      </c>
      <c r="S14" s="36" t="str">
        <f>INDEX(Odds!H:H,MATCH(R14,Odds!G:G,0))</f>
        <v>8/15</v>
      </c>
      <c r="T14" s="40">
        <f t="shared" si="0"/>
        <v>0</v>
      </c>
      <c r="U14" s="20" t="str">
        <f>INDEX(Match!Q:Q,MATCH(P14,Match!V:V,0))</f>
        <v>Barnsley</v>
      </c>
      <c r="V14" s="20">
        <f>INDEX(Match!G:G,MATCH(P14,Match!V:V,0))</f>
        <v>0</v>
      </c>
      <c r="W14" s="20" t="str">
        <f>INDEX(Match!R:R,MATCH(P14,Match!V:V,0))</f>
        <v>Cambridge</v>
      </c>
      <c r="X14" s="20">
        <f>INDEX(Match!H:H,MATCH(P14,Match!V:V,0))</f>
        <v>2</v>
      </c>
      <c r="AB14" s="565" t="str">
        <f>IF(O14="","",INDEX(Odds!H:H,MATCH(O14,Odds!G:G,0)))</f>
        <v/>
      </c>
      <c r="AC14" s="586">
        <f>IF(J14="","",INDEX(Odds!K:K,MATCH(J14,Odds!G:G,0)))</f>
        <v>1</v>
      </c>
      <c r="AD14" s="69" t="s">
        <v>303</v>
      </c>
      <c r="AE14" s="72">
        <f>INDEX(Picks!F:F,MATCH(AD14,Picks!A:A,0))</f>
        <v>-0.52666666666666728</v>
      </c>
      <c r="AF14" s="430">
        <f>INDEX(Weekly!I:I,MATCH(AD14,Weekly!E:E,0))</f>
        <v>2</v>
      </c>
      <c r="AG14" s="69">
        <f>IF(AE14=-10,"",_xlfn.RANK.EQ(AE14,TopScores,0))</f>
        <v>13</v>
      </c>
      <c r="AI14" s="71" t="s">
        <v>304</v>
      </c>
      <c r="AJ14" s="72">
        <f>INDEX(Picks!G:G,MATCH(AI14,Picks!A:A,0))</f>
        <v>109.33333333333334</v>
      </c>
      <c r="AK14" s="430">
        <f>INDEX(Weekly!I:I,MATCH(AI14,Weekly!E:E,0))</f>
        <v>2</v>
      </c>
      <c r="AL14" s="69">
        <f>IF(AJ14="","",_xlfn.RANK.EQ(AJ14,TopMaxScores,0))</f>
        <v>4</v>
      </c>
    </row>
    <row r="15" spans="1:40">
      <c r="A15" s="623" t="str">
        <f>A14</f>
        <v>Alfie Davies</v>
      </c>
      <c r="B15" s="439" t="str">
        <f t="shared" si="1"/>
        <v>Leeds</v>
      </c>
      <c r="C15" s="505">
        <f>IF(J15="","",INDEX(Odds!C:C,MATCH(J15,Odds!G:G,0)))</f>
        <v>6</v>
      </c>
      <c r="D15" s="440">
        <f t="shared" si="2"/>
        <v>1.6153846153846154</v>
      </c>
      <c r="E15" s="453" t="str">
        <f t="shared" si="3"/>
        <v>x</v>
      </c>
      <c r="F15" s="441"/>
      <c r="G15" s="442"/>
      <c r="H15" s="204"/>
      <c r="I15" s="373"/>
      <c r="J15" s="435" t="s">
        <v>618</v>
      </c>
      <c r="K15" s="188" t="str">
        <f>INDEX(Odds!H:H,MATCH(J15,Odds!G:G,0))</f>
        <v>8/13</v>
      </c>
      <c r="L15" s="443">
        <f>INDEX(Odds!I:I,MATCH(J15,Odds!G:G,0))</f>
        <v>1.6153846153846154</v>
      </c>
      <c r="M15" s="437">
        <f>INDEX(Odds!J:J,MATCH(J15,Odds!G:G,0))</f>
        <v>0</v>
      </c>
      <c r="N15" s="438">
        <f t="shared" si="4"/>
        <v>0</v>
      </c>
      <c r="O15" s="561"/>
      <c r="P15" s="558" t="str">
        <f>IF(Match!B15="","",Match!V15)</f>
        <v xml:space="preserve">Derby 1-0 Blackpool </v>
      </c>
      <c r="Q15" s="88"/>
      <c r="R15" s="35" t="str">
        <f>IF(Odds!G15="","",Odds!G15)</f>
        <v>Derby</v>
      </c>
      <c r="S15" s="36" t="str">
        <f>INDEX(Odds!H:H,MATCH(R15,Odds!G:G,0))</f>
        <v>17/20</v>
      </c>
      <c r="T15" s="40">
        <f t="shared" si="0"/>
        <v>1</v>
      </c>
      <c r="U15" s="20" t="str">
        <f>INDEX(Match!Q:Q,MATCH(P15,Match!V:V,0))</f>
        <v>Derby</v>
      </c>
      <c r="V15" s="20">
        <f>INDEX(Match!G:G,MATCH(P15,Match!V:V,0))</f>
        <v>1</v>
      </c>
      <c r="W15" s="20" t="str">
        <f>INDEX(Match!R:R,MATCH(P15,Match!V:V,0))</f>
        <v>Blackpool</v>
      </c>
      <c r="X15" s="20">
        <f>INDEX(Match!H:H,MATCH(P15,Match!V:V,0))</f>
        <v>0</v>
      </c>
      <c r="AB15" s="565" t="str">
        <f>IF(O15="","",INDEX(Odds!H:H,MATCH(O15,Odds!G:G,0)))</f>
        <v/>
      </c>
      <c r="AC15" s="586">
        <f>IF(J15="","",INDEX(Odds!K:K,MATCH(J15,Odds!G:G,0)))</f>
        <v>1</v>
      </c>
      <c r="AD15" s="69" t="s">
        <v>294</v>
      </c>
      <c r="AE15" s="72">
        <f>INDEX(Picks!F:F,MATCH(AD15,Picks!A:A,0))</f>
        <v>-0.63030303030303081</v>
      </c>
      <c r="AF15" s="430">
        <f>INDEX(Weekly!I:I,MATCH(AD15,Weekly!E:E,0))</f>
        <v>2</v>
      </c>
      <c r="AG15" s="69">
        <f>IF(AE15=-10,"",_xlfn.RANK.EQ(AE15,TopScores,0))</f>
        <v>14</v>
      </c>
      <c r="AI15" s="69" t="s">
        <v>527</v>
      </c>
      <c r="AJ15" s="72">
        <f>INDEX(Picks!G:G,MATCH(AI15,Picks!A:A,0))</f>
        <v>97.6</v>
      </c>
      <c r="AK15" s="430">
        <f>INDEX(Weekly!I:I,MATCH(AI15,Weekly!E:E,0))</f>
        <v>0</v>
      </c>
      <c r="AL15" s="69">
        <f>IF(AJ15="","",_xlfn.RANK.EQ(AJ15,TopMaxScores,0))</f>
        <v>6</v>
      </c>
    </row>
    <row r="16" spans="1:40" ht="13.5" thickBot="1">
      <c r="A16" s="624" t="str">
        <f>A14</f>
        <v>Alfie Davies</v>
      </c>
      <c r="B16" s="444" t="str">
        <f t="shared" si="1"/>
        <v>Fulham</v>
      </c>
      <c r="C16" s="506">
        <f>IF(J16="","",INDEX(Odds!C:C,MATCH(J16,Odds!G:G,0)))</f>
        <v>7</v>
      </c>
      <c r="D16" s="445">
        <f t="shared" si="2"/>
        <v>1.7</v>
      </c>
      <c r="E16" s="453" t="str">
        <f t="shared" si="3"/>
        <v>x</v>
      </c>
      <c r="F16" s="441"/>
      <c r="G16" s="442"/>
      <c r="H16" s="204"/>
      <c r="I16" s="373"/>
      <c r="J16" s="446" t="s">
        <v>645</v>
      </c>
      <c r="K16" s="189" t="str">
        <f>INDEX(Odds!H:H,MATCH(J16,Odds!G:G,0))</f>
        <v>7/10</v>
      </c>
      <c r="L16" s="447">
        <f>INDEX(Odds!I:I,MATCH(J16,Odds!G:G,0))</f>
        <v>1.7</v>
      </c>
      <c r="M16" s="437">
        <f>INDEX(Odds!J:J,MATCH(J16,Odds!G:G,0))</f>
        <v>0</v>
      </c>
      <c r="N16" s="448">
        <f t="shared" si="4"/>
        <v>0</v>
      </c>
      <c r="O16" s="562"/>
      <c r="P16" s="558" t="str">
        <f>IF(Match!B16="","",Match!V16)</f>
        <v xml:space="preserve">Exeter 1-1 Charlton </v>
      </c>
      <c r="Q16" s="88"/>
      <c r="R16" s="35" t="str">
        <f>IF(Odds!G16="","",Odds!G16)</f>
        <v>Exeter</v>
      </c>
      <c r="S16" s="36" t="str">
        <f>INDEX(Odds!H:H,MATCH(R16,Odds!G:G,0))</f>
        <v>8/5</v>
      </c>
      <c r="T16" s="40">
        <f t="shared" si="0"/>
        <v>0</v>
      </c>
      <c r="U16" s="20" t="str">
        <f>INDEX(Match!Q:Q,MATCH(P16,Match!V:V,0))</f>
        <v>Exeter</v>
      </c>
      <c r="V16" s="20">
        <f>INDEX(Match!G:G,MATCH(P16,Match!V:V,0))</f>
        <v>1</v>
      </c>
      <c r="W16" s="20" t="str">
        <f>INDEX(Match!R:R,MATCH(P16,Match!V:V,0))</f>
        <v>Charlton</v>
      </c>
      <c r="X16" s="20">
        <f>INDEX(Match!H:H,MATCH(P16,Match!V:V,0))</f>
        <v>1</v>
      </c>
      <c r="AB16" s="566" t="str">
        <f>IF(O16="","",INDEX(Odds!H:H,MATCH(O16,Odds!G:G,0)))</f>
        <v/>
      </c>
      <c r="AC16" s="586">
        <f>IF(J16="","",INDEX(Odds!K:K,MATCH(J16,Odds!G:G,0)))</f>
        <v>1</v>
      </c>
      <c r="AD16" s="69" t="s">
        <v>295</v>
      </c>
      <c r="AE16" s="72">
        <f>INDEX(Picks!F:F,MATCH(AD16,Picks!A:A,0))</f>
        <v>-0.84500000000000064</v>
      </c>
      <c r="AF16" s="430">
        <f>INDEX(Weekly!I:I,MATCH(AD16,Weekly!E:E,0))</f>
        <v>2</v>
      </c>
      <c r="AG16" s="69">
        <f>IF(AE16=-10,"",_xlfn.RANK.EQ(AE16,TopScores,0))</f>
        <v>15</v>
      </c>
      <c r="AI16" s="69" t="s">
        <v>505</v>
      </c>
      <c r="AJ16" s="72">
        <f>INDEX(Picks!G:G,MATCH(AI16,Picks!A:A,0))</f>
        <v>93.43</v>
      </c>
      <c r="AK16" s="430">
        <f>INDEX(Weekly!I:I,MATCH(AI16,Weekly!E:E,0))</f>
        <v>1</v>
      </c>
      <c r="AL16" s="69">
        <f>IF(AJ16="","",_xlfn.RANK.EQ(AJ16,TopMaxScores,0))</f>
        <v>7</v>
      </c>
    </row>
    <row r="17" spans="1:38" ht="13.9" thickTop="1" thickBot="1">
      <c r="A17" s="433" t="str">
        <f>Results!B17</f>
        <v>Alick Rocca</v>
      </c>
      <c r="B17" s="449" t="str">
        <f t="shared" si="1"/>
        <v>Stockport</v>
      </c>
      <c r="C17" s="505">
        <f>IF(J17="","",INDEX(Odds!C:C,MATCH(J17,Odds!G:G,0)))</f>
        <v>6</v>
      </c>
      <c r="D17" s="434">
        <f t="shared" si="2"/>
        <v>1.65</v>
      </c>
      <c r="E17" s="452" t="str">
        <f t="shared" si="3"/>
        <v>√</v>
      </c>
      <c r="F17" s="375">
        <f>IF(J17="",-10,INDEX(Results!T:T,MATCH(A17,Results!V:V,0)))</f>
        <v>-5.35</v>
      </c>
      <c r="G17" s="186">
        <f>IF(J17="","",INDEX(Results!AI:AI,MATCH(A17,Results!V:V,0)))</f>
        <v>18.045714285714283</v>
      </c>
      <c r="H17" s="204">
        <f>IF(G17="",0,1)</f>
        <v>1</v>
      </c>
      <c r="I17" s="372">
        <f>INDEX(Picks!AG:AG,MATCH(A17,Picks!AD:AD,0))</f>
        <v>32</v>
      </c>
      <c r="J17" s="435" t="s">
        <v>594</v>
      </c>
      <c r="K17" s="187" t="str">
        <f>INDEX(Odds!H:H,MATCH(J17,Odds!G:G,0))</f>
        <v>13/20</v>
      </c>
      <c r="L17" s="436">
        <f>INDEX(Odds!I:I,MATCH(J17,Odds!G:G,0))</f>
        <v>1.65</v>
      </c>
      <c r="M17" s="450">
        <f>INDEX(Odds!J:J,MATCH(J17,Odds!G:G,0))</f>
        <v>1</v>
      </c>
      <c r="N17" s="438">
        <f t="shared" si="4"/>
        <v>1.65</v>
      </c>
      <c r="O17" s="561"/>
      <c r="P17" s="558" t="str">
        <f>IF(Match!B17="","",Match!V17)</f>
        <v xml:space="preserve">Fleetwood 1-2 Cheltenham </v>
      </c>
      <c r="Q17" s="88"/>
      <c r="R17" s="35" t="str">
        <f>IF(Odds!G17="","",Odds!G17)</f>
        <v>Fleetwood</v>
      </c>
      <c r="S17" s="36" t="str">
        <f>INDEX(Odds!H:H,MATCH(R17,Odds!G:G,0))</f>
        <v>1/1</v>
      </c>
      <c r="T17" s="40">
        <f t="shared" si="0"/>
        <v>0</v>
      </c>
      <c r="U17" s="20" t="str">
        <f>INDEX(Match!Q:Q,MATCH(P17,Match!V:V,0))</f>
        <v>Fleetwood</v>
      </c>
      <c r="V17" s="20">
        <f>INDEX(Match!G:G,MATCH(P17,Match!V:V,0))</f>
        <v>1</v>
      </c>
      <c r="W17" s="20" t="str">
        <f>INDEX(Match!R:R,MATCH(P17,Match!V:V,0))</f>
        <v>Cheltenham</v>
      </c>
      <c r="X17" s="20">
        <f>INDEX(Match!H:H,MATCH(P17,Match!V:V,0))</f>
        <v>2</v>
      </c>
      <c r="AB17" s="565" t="str">
        <f>IF(O17="","",INDEX(Odds!H:H,MATCH(O17,Odds!G:G,0)))</f>
        <v/>
      </c>
      <c r="AC17" s="586">
        <f>IF(J17="","",INDEX(Odds!K:K,MATCH(J17,Odds!G:G,0)))</f>
        <v>1</v>
      </c>
      <c r="AD17" s="69" t="s">
        <v>273</v>
      </c>
      <c r="AE17" s="72">
        <f>INDEX(Picks!F:F,MATCH(AD17,Picks!A:A,0))</f>
        <v>-1.375</v>
      </c>
      <c r="AF17" s="430">
        <f>INDEX(Weekly!I:I,MATCH(AD17,Weekly!E:E,0))</f>
        <v>2</v>
      </c>
      <c r="AG17" s="69">
        <f>IF(AE17=-10,"",_xlfn.RANK.EQ(AE17,TopScores,0))</f>
        <v>16</v>
      </c>
      <c r="AI17" s="69" t="s">
        <v>289</v>
      </c>
      <c r="AJ17" s="72">
        <f>INDEX(Picks!G:G,MATCH(AI17,Picks!A:A,0))</f>
        <v>66.25</v>
      </c>
      <c r="AK17" s="430">
        <f>INDEX(Weekly!I:I,MATCH(AI17,Weekly!E:E,0))</f>
        <v>1</v>
      </c>
      <c r="AL17" s="69">
        <f>IF(AJ17="","",_xlfn.RANK.EQ(AJ17,TopMaxScores,0))</f>
        <v>8</v>
      </c>
    </row>
    <row r="18" spans="1:38">
      <c r="A18" s="623" t="str">
        <f>A17</f>
        <v>Alick Rocca</v>
      </c>
      <c r="B18" s="439" t="str">
        <f>IF(J18="","",J18)</f>
        <v>Huddersfield Draw</v>
      </c>
      <c r="C18" s="505">
        <f>IF(J18="","",INDEX(Odds!C:C,MATCH(J18,Odds!G:G,0)))</f>
        <v>6</v>
      </c>
      <c r="D18" s="440">
        <f t="shared" si="2"/>
        <v>3.3</v>
      </c>
      <c r="E18" s="453" t="str">
        <f t="shared" si="3"/>
        <v>x</v>
      </c>
      <c r="F18" s="441"/>
      <c r="G18" s="442"/>
      <c r="H18" s="204"/>
      <c r="I18" s="373"/>
      <c r="J18" s="435" t="s">
        <v>653</v>
      </c>
      <c r="K18" s="188" t="str">
        <f>INDEX(Odds!H:H,MATCH(J18,Odds!G:G,0))</f>
        <v>23/10</v>
      </c>
      <c r="L18" s="443">
        <f>INDEX(Odds!I:I,MATCH(J18,Odds!G:G,0))</f>
        <v>3.3</v>
      </c>
      <c r="M18" s="437">
        <f>INDEX(Odds!J:J,MATCH(J18,Odds!G:G,0))</f>
        <v>0</v>
      </c>
      <c r="N18" s="438">
        <f t="shared" si="4"/>
        <v>0</v>
      </c>
      <c r="O18" s="561"/>
      <c r="P18" s="558" t="str">
        <f>IF(Match!B18="","",Match!V18)</f>
        <v xml:space="preserve">Lincoln 1-0 Orient </v>
      </c>
      <c r="Q18" s="88"/>
      <c r="R18" s="35" t="str">
        <f>IF(Odds!G18="","",Odds!G18)</f>
        <v>Lincoln</v>
      </c>
      <c r="S18" s="36" t="str">
        <f>INDEX(Odds!H:H,MATCH(R18,Odds!G:G,0))</f>
        <v>1/1</v>
      </c>
      <c r="T18" s="40">
        <f t="shared" si="0"/>
        <v>1</v>
      </c>
      <c r="U18" s="20" t="str">
        <f>INDEX(Match!Q:Q,MATCH(P18,Match!V:V,0))</f>
        <v>Lincoln</v>
      </c>
      <c r="V18" s="20">
        <f>INDEX(Match!G:G,MATCH(P18,Match!V:V,0))</f>
        <v>1</v>
      </c>
      <c r="W18" s="20" t="str">
        <f>INDEX(Match!R:R,MATCH(P18,Match!V:V,0))</f>
        <v>Orient</v>
      </c>
      <c r="X18" s="20">
        <f>INDEX(Match!H:H,MATCH(P18,Match!V:V,0))</f>
        <v>0</v>
      </c>
      <c r="AB18" s="565" t="str">
        <f>IF(O18="","",INDEX(Odds!H:H,MATCH(O18,Odds!G:G,0)))</f>
        <v/>
      </c>
      <c r="AC18" s="586">
        <f>IF(J18="","",INDEX(Odds!K:K,MATCH(J18,Odds!G:G,0)))</f>
        <v>1</v>
      </c>
      <c r="AD18" s="69" t="s">
        <v>307</v>
      </c>
      <c r="AE18" s="72">
        <f>INDEX(Picks!F:F,MATCH(AD18,Picks!A:A,0))</f>
        <v>-1.666666666666667</v>
      </c>
      <c r="AF18" s="430">
        <f>INDEX(Weekly!I:I,MATCH(AD18,Weekly!E:E,0))</f>
        <v>2</v>
      </c>
      <c r="AG18" s="69">
        <f>IF(AE18=-10,"",_xlfn.RANK.EQ(AE18,TopScores,0))</f>
        <v>17</v>
      </c>
      <c r="AI18" s="69" t="s">
        <v>358</v>
      </c>
      <c r="AJ18" s="72">
        <f>INDEX(Picks!G:G,MATCH(AI18,Picks!A:A,0))</f>
        <v>64.192000000000007</v>
      </c>
      <c r="AK18" s="430">
        <f>INDEX(Weekly!I:I,MATCH(AI18,Weekly!E:E,0))</f>
        <v>0</v>
      </c>
      <c r="AL18" s="69">
        <f>IF(AJ18="","",_xlfn.RANK.EQ(AJ18,TopMaxScores,0))</f>
        <v>9</v>
      </c>
    </row>
    <row r="19" spans="1:38" ht="13.5" thickBot="1">
      <c r="A19" s="624" t="str">
        <f>A17</f>
        <v>Alick Rocca</v>
      </c>
      <c r="B19" s="444" t="str">
        <f t="shared" si="1"/>
        <v>Peterborough</v>
      </c>
      <c r="C19" s="506">
        <f>IF(J19="","",INDEX(Odds!C:C,MATCH(J19,Odds!G:G,0)))</f>
        <v>6</v>
      </c>
      <c r="D19" s="445">
        <f t="shared" si="2"/>
        <v>1.2857142857142856</v>
      </c>
      <c r="E19" s="453" t="str">
        <f t="shared" si="3"/>
        <v>x</v>
      </c>
      <c r="F19" s="441"/>
      <c r="G19" s="442"/>
      <c r="H19" s="204"/>
      <c r="I19" s="373"/>
      <c r="J19" s="446" t="s">
        <v>628</v>
      </c>
      <c r="K19" s="189" t="str">
        <f>INDEX(Odds!H:H,MATCH(J19,Odds!G:G,0))</f>
        <v>2/7</v>
      </c>
      <c r="L19" s="447">
        <f>INDEX(Odds!I:I,MATCH(J19,Odds!G:G,0))</f>
        <v>1.2857142857142856</v>
      </c>
      <c r="M19" s="437">
        <f>INDEX(Odds!J:J,MATCH(J19,Odds!G:G,0))</f>
        <v>0</v>
      </c>
      <c r="N19" s="448">
        <f t="shared" si="4"/>
        <v>0</v>
      </c>
      <c r="O19" s="562"/>
      <c r="P19" s="558" t="str">
        <f>IF(Match!B19="","",Match!V19)</f>
        <v xml:space="preserve">Peterborough 1-3 Carlisle </v>
      </c>
      <c r="Q19" s="88"/>
      <c r="R19" s="35" t="str">
        <f>IF(Odds!G19="","",Odds!G19)</f>
        <v>Peterborough</v>
      </c>
      <c r="S19" s="36" t="str">
        <f>INDEX(Odds!H:H,MATCH(R19,Odds!G:G,0))</f>
        <v>2/7</v>
      </c>
      <c r="T19" s="40">
        <f t="shared" si="0"/>
        <v>0</v>
      </c>
      <c r="U19" s="20" t="str">
        <f>INDEX(Match!Q:Q,MATCH(P19,Match!V:V,0))</f>
        <v>Peterborough</v>
      </c>
      <c r="V19" s="20">
        <f>INDEX(Match!G:G,MATCH(P19,Match!V:V,0))</f>
        <v>1</v>
      </c>
      <c r="W19" s="20" t="str">
        <f>INDEX(Match!R:R,MATCH(P19,Match!V:V,0))</f>
        <v>Carlisle</v>
      </c>
      <c r="X19" s="20">
        <f>INDEX(Match!H:H,MATCH(P19,Match!V:V,0))</f>
        <v>3</v>
      </c>
      <c r="AB19" s="566" t="str">
        <f>IF(O19="","",INDEX(Odds!H:H,MATCH(O19,Odds!G:G,0)))</f>
        <v/>
      </c>
      <c r="AC19" s="586">
        <f>IF(J19="","",INDEX(Odds!K:K,MATCH(J19,Odds!G:G,0)))</f>
        <v>1</v>
      </c>
      <c r="AD19" s="69" t="s">
        <v>505</v>
      </c>
      <c r="AE19" s="72">
        <f>INDEX(Picks!F:F,MATCH(AD19,Picks!A:A,0))</f>
        <v>-3.5</v>
      </c>
      <c r="AF19" s="430">
        <f>INDEX(Weekly!I:I,MATCH(AD19,Weekly!E:E,0))</f>
        <v>1</v>
      </c>
      <c r="AG19" s="69">
        <f>IF(AE19=-10,"",_xlfn.RANK.EQ(AE19,TopScores,0))</f>
        <v>18</v>
      </c>
      <c r="AI19" s="71" t="s">
        <v>288</v>
      </c>
      <c r="AJ19" s="72">
        <f>INDEX(Picks!G:G,MATCH(AI19,Picks!A:A,0))</f>
        <v>62.400000000000006</v>
      </c>
      <c r="AK19" s="430">
        <f>INDEX(Weekly!I:I,MATCH(AI19,Weekly!E:E,0))</f>
        <v>2</v>
      </c>
      <c r="AL19" s="69">
        <f>IF(AJ19="","",_xlfn.RANK.EQ(AJ19,TopMaxScores,0))</f>
        <v>10</v>
      </c>
    </row>
    <row r="20" spans="1:38" ht="13.9" thickTop="1" thickBot="1">
      <c r="A20" s="433" t="str">
        <f>Results!B20</f>
        <v>Andy White</v>
      </c>
      <c r="B20" s="449" t="str">
        <f t="shared" si="1"/>
        <v>Bournemouth</v>
      </c>
      <c r="C20" s="505">
        <f>IF(J20="","",INDEX(Odds!C:C,MATCH(J20,Odds!G:G,0)))</f>
        <v>7</v>
      </c>
      <c r="D20" s="434">
        <f t="shared" si="2"/>
        <v>2.1</v>
      </c>
      <c r="E20" s="452" t="str">
        <f t="shared" si="3"/>
        <v>√</v>
      </c>
      <c r="F20" s="375">
        <f>IF(J20="",-10,INDEX(Results!T:T,MATCH(A20,Results!V:V,0)))</f>
        <v>0.83500000000000085</v>
      </c>
      <c r="G20" s="186">
        <f>IF(J20="","",INDEX(Results!AI:AI,MATCH(A20,Results!V:V,0)))</f>
        <v>20.272000000000006</v>
      </c>
      <c r="H20" s="204">
        <f>IF(G20="",0,1)</f>
        <v>1</v>
      </c>
      <c r="I20" s="372">
        <f>INDEX(Picks!AG:AG,MATCH(A20,Picks!AD:AD,0))</f>
        <v>9</v>
      </c>
      <c r="J20" s="677" t="s">
        <v>637</v>
      </c>
      <c r="K20" s="187" t="str">
        <f>INDEX(Odds!H:H,MATCH(J20,Odds!G:G,0))</f>
        <v>11/10</v>
      </c>
      <c r="L20" s="436">
        <f>INDEX(Odds!I:I,MATCH(J20,Odds!G:G,0))</f>
        <v>2.1</v>
      </c>
      <c r="M20" s="450">
        <f>INDEX(Odds!J:J,MATCH(J20,Odds!G:G,0))</f>
        <v>1</v>
      </c>
      <c r="N20" s="438">
        <f t="shared" si="4"/>
        <v>2.1</v>
      </c>
      <c r="O20" s="561"/>
      <c r="P20" s="558" t="str">
        <f>IF(Match!B20="","",Match!V20)</f>
        <v xml:space="preserve">Port Vale 2-0 Bristol R </v>
      </c>
      <c r="Q20" s="88"/>
      <c r="R20" s="35" t="str">
        <f>IF(Odds!G20="","",Odds!G20)</f>
        <v>Port Vale</v>
      </c>
      <c r="S20" s="36" t="str">
        <f>INDEX(Odds!H:H,MATCH(R20,Odds!G:G,0))</f>
        <v>8/5</v>
      </c>
      <c r="T20" s="40">
        <f t="shared" si="0"/>
        <v>1</v>
      </c>
      <c r="U20" s="20" t="str">
        <f>INDEX(Match!Q:Q,MATCH(P20,Match!V:V,0))</f>
        <v>Port Vale</v>
      </c>
      <c r="V20" s="20">
        <f>INDEX(Match!G:G,MATCH(P20,Match!V:V,0))</f>
        <v>2</v>
      </c>
      <c r="W20" s="20" t="str">
        <f>INDEX(Match!R:R,MATCH(P20,Match!V:V,0))</f>
        <v>Bristol R</v>
      </c>
      <c r="X20" s="20">
        <f>INDEX(Match!H:H,MATCH(P20,Match!V:V,0))</f>
        <v>0</v>
      </c>
      <c r="AB20" s="565" t="str">
        <f>IF(O20="","",INDEX(Odds!H:H,MATCH(O20,Odds!G:G,0)))</f>
        <v/>
      </c>
      <c r="AC20" s="586">
        <f>IF(J20="","",INDEX(Odds!K:K,MATCH(J20,Odds!G:G,0)))</f>
        <v>1</v>
      </c>
      <c r="AD20" s="69" t="s">
        <v>289</v>
      </c>
      <c r="AE20" s="72">
        <f>INDEX(Picks!F:F,MATCH(AD20,Picks!A:A,0))</f>
        <v>-3.6</v>
      </c>
      <c r="AF20" s="430">
        <f>INDEX(Weekly!I:I,MATCH(AD20,Weekly!E:E,0))</f>
        <v>1</v>
      </c>
      <c r="AG20" s="69">
        <f>IF(AE20=-10,"",_xlfn.RANK.EQ(AE20,TopScores,0))</f>
        <v>19</v>
      </c>
      <c r="AI20" s="69" t="s">
        <v>362</v>
      </c>
      <c r="AJ20" s="72">
        <f>INDEX(Picks!G:G,MATCH(AI20,Picks!A:A,0))</f>
        <v>62.2</v>
      </c>
      <c r="AK20" s="430">
        <f>INDEX(Weekly!I:I,MATCH(AI20,Weekly!E:E,0))</f>
        <v>3</v>
      </c>
      <c r="AL20" s="69">
        <f>IF(AJ20="","",_xlfn.RANK.EQ(AJ20,TopMaxScores,0))</f>
        <v>11</v>
      </c>
    </row>
    <row r="21" spans="1:38">
      <c r="A21" s="623" t="str">
        <f>A20</f>
        <v>Andy White</v>
      </c>
      <c r="B21" s="439" t="str">
        <f t="shared" si="1"/>
        <v>Man U</v>
      </c>
      <c r="C21" s="505">
        <f>IF(J21="","",INDEX(Odds!C:C,MATCH(J21,Odds!G:G,0)))</f>
        <v>7</v>
      </c>
      <c r="D21" s="440">
        <f t="shared" si="2"/>
        <v>2.2000000000000002</v>
      </c>
      <c r="E21" s="453" t="str">
        <f t="shared" si="3"/>
        <v>x</v>
      </c>
      <c r="F21" s="441"/>
      <c r="G21" s="442"/>
      <c r="H21" s="204"/>
      <c r="I21" s="373"/>
      <c r="J21" s="677" t="s">
        <v>640</v>
      </c>
      <c r="K21" s="188" t="str">
        <f>INDEX(Odds!H:H,MATCH(J21,Odds!G:G,0))</f>
        <v>6/5</v>
      </c>
      <c r="L21" s="443">
        <f>INDEX(Odds!I:I,MATCH(J21,Odds!G:G,0))</f>
        <v>2.2000000000000002</v>
      </c>
      <c r="M21" s="437">
        <f>INDEX(Odds!J:J,MATCH(J21,Odds!G:G,0))</f>
        <v>0</v>
      </c>
      <c r="N21" s="438">
        <f t="shared" si="4"/>
        <v>0</v>
      </c>
      <c r="O21" s="561"/>
      <c r="P21" s="558" t="str">
        <f>IF(Match!B21="","",Match!V21)</f>
        <v xml:space="preserve">Reading 1-0 Northampton </v>
      </c>
      <c r="Q21" s="88"/>
      <c r="R21" s="35" t="str">
        <f>IF(Odds!G21="","",Odds!G21)</f>
        <v>Reading</v>
      </c>
      <c r="S21" s="36" t="str">
        <f>INDEX(Odds!H:H,MATCH(R21,Odds!G:G,0))</f>
        <v>7/10</v>
      </c>
      <c r="T21" s="40">
        <f t="shared" si="0"/>
        <v>1</v>
      </c>
      <c r="U21" s="20" t="str">
        <f>INDEX(Match!Q:Q,MATCH(P21,Match!V:V,0))</f>
        <v>Reading</v>
      </c>
      <c r="V21" s="20">
        <f>INDEX(Match!G:G,MATCH(P21,Match!V:V,0))</f>
        <v>1</v>
      </c>
      <c r="W21" s="20" t="str">
        <f>INDEX(Match!R:R,MATCH(P21,Match!V:V,0))</f>
        <v>Northampton</v>
      </c>
      <c r="X21" s="20">
        <f>INDEX(Match!H:H,MATCH(P21,Match!V:V,0))</f>
        <v>0</v>
      </c>
      <c r="AB21" s="565" t="str">
        <f>IF(O21="","",INDEX(Odds!H:H,MATCH(O21,Odds!G:G,0)))</f>
        <v/>
      </c>
      <c r="AC21" s="586">
        <f>IF(J21="","",INDEX(Odds!K:K,MATCH(J21,Odds!G:G,0)))</f>
        <v>1</v>
      </c>
      <c r="AD21" s="69" t="s">
        <v>297</v>
      </c>
      <c r="AE21" s="72">
        <f>INDEX(Picks!F:F,MATCH(AD21,Picks!A:A,0))</f>
        <v>-3.6</v>
      </c>
      <c r="AF21" s="430">
        <f>INDEX(Weekly!I:I,MATCH(AD21,Weekly!E:E,0))</f>
        <v>1</v>
      </c>
      <c r="AG21" s="69">
        <f>IF(AE21=-10,"",_xlfn.RANK.EQ(AE21,TopScores,0))</f>
        <v>19</v>
      </c>
      <c r="AI21" s="69" t="s">
        <v>283</v>
      </c>
      <c r="AJ21" s="72">
        <f>INDEX(Picks!G:G,MATCH(AI21,Picks!A:A,0))</f>
        <v>46.675000000000004</v>
      </c>
      <c r="AK21" s="430">
        <f>INDEX(Weekly!I:I,MATCH(AI21,Weekly!E:E,0))</f>
        <v>1</v>
      </c>
      <c r="AL21" s="69">
        <f>IF(AJ21="","",_xlfn.RANK.EQ(AJ21,TopMaxScores,0))</f>
        <v>12</v>
      </c>
    </row>
    <row r="22" spans="1:38" ht="13.5" thickBot="1">
      <c r="A22" s="624" t="str">
        <f>A20</f>
        <v>Andy White</v>
      </c>
      <c r="B22" s="444" t="str">
        <f t="shared" si="1"/>
        <v>Newcastle</v>
      </c>
      <c r="C22" s="506">
        <f>IF(J22="","",INDEX(Odds!C:C,MATCH(J22,Odds!G:G,0)))</f>
        <v>7</v>
      </c>
      <c r="D22" s="445">
        <f t="shared" si="2"/>
        <v>1.85</v>
      </c>
      <c r="E22" s="453" t="str">
        <f t="shared" si="3"/>
        <v>√</v>
      </c>
      <c r="F22" s="441"/>
      <c r="G22" s="442"/>
      <c r="H22" s="204"/>
      <c r="I22" s="373"/>
      <c r="J22" s="648" t="s">
        <v>644</v>
      </c>
      <c r="K22" s="189" t="str">
        <f>INDEX(Odds!H:H,MATCH(J22,Odds!G:G,0))</f>
        <v>17/20</v>
      </c>
      <c r="L22" s="447">
        <f>INDEX(Odds!I:I,MATCH(J22,Odds!G:G,0))</f>
        <v>1.85</v>
      </c>
      <c r="M22" s="437">
        <f>INDEX(Odds!J:J,MATCH(J22,Odds!G:G,0))</f>
        <v>1</v>
      </c>
      <c r="N22" s="448">
        <f t="shared" si="4"/>
        <v>1.85</v>
      </c>
      <c r="O22" s="562"/>
      <c r="P22" s="558" t="str">
        <f>IF(Match!B22="","",Match!V22)</f>
        <v xml:space="preserve">Shrewsbury 1-1 Oxford </v>
      </c>
      <c r="Q22" s="88"/>
      <c r="R22" s="35" t="str">
        <f>IF(Odds!G22="","",Odds!G22)</f>
        <v>Shrewsbury</v>
      </c>
      <c r="S22" s="36" t="str">
        <f>INDEX(Odds!H:H,MATCH(R22,Odds!G:G,0))</f>
        <v>27/10</v>
      </c>
      <c r="T22" s="40">
        <f t="shared" si="0"/>
        <v>0</v>
      </c>
      <c r="U22" s="20" t="str">
        <f>INDEX(Match!Q:Q,MATCH(P22,Match!V:V,0))</f>
        <v>Shrewsbury</v>
      </c>
      <c r="V22" s="20">
        <f>INDEX(Match!G:G,MATCH(P22,Match!V:V,0))</f>
        <v>1</v>
      </c>
      <c r="W22" s="20" t="str">
        <f>INDEX(Match!R:R,MATCH(P22,Match!V:V,0))</f>
        <v>Oxford</v>
      </c>
      <c r="X22" s="20">
        <f>INDEX(Match!H:H,MATCH(P22,Match!V:V,0))</f>
        <v>1</v>
      </c>
      <c r="AB22" s="566" t="str">
        <f>IF(O22="","",INDEX(Odds!H:H,MATCH(O22,Odds!G:G,0)))</f>
        <v/>
      </c>
      <c r="AC22" s="586">
        <f>IF(J22="","",INDEX(Odds!K:K,MATCH(J22,Odds!G:G,0)))</f>
        <v>1</v>
      </c>
      <c r="AD22" s="592" t="s">
        <v>283</v>
      </c>
      <c r="AE22" s="72">
        <f>INDEX(Picks!F:F,MATCH(AD22,Picks!A:A,0))</f>
        <v>-4.625</v>
      </c>
      <c r="AF22" s="430">
        <f>INDEX(Weekly!I:I,MATCH(AD22,Weekly!E:E,0))</f>
        <v>1</v>
      </c>
      <c r="AG22" s="69">
        <f>IF(AE22=-10,"",_xlfn.RANK.EQ(AE22,TopScores,0))</f>
        <v>21</v>
      </c>
      <c r="AI22" s="71" t="s">
        <v>292</v>
      </c>
      <c r="AJ22" s="72">
        <f>INDEX(Picks!G:G,MATCH(AI22,Picks!A:A,0))</f>
        <v>41.600000000000009</v>
      </c>
      <c r="AK22" s="430">
        <f>INDEX(Weekly!I:I,MATCH(AI22,Weekly!E:E,0))</f>
        <v>2</v>
      </c>
      <c r="AL22" s="69">
        <f>IF(AJ22="","",_xlfn.RANK.EQ(AJ22,TopMaxScores,0))</f>
        <v>13</v>
      </c>
    </row>
    <row r="23" spans="1:38" ht="13.9" thickTop="1" thickBot="1">
      <c r="A23" s="433" t="str">
        <f>Results!B23</f>
        <v>Barry Birchall</v>
      </c>
      <c r="B23" s="449" t="str">
        <f t="shared" si="1"/>
        <v>Norwich</v>
      </c>
      <c r="C23" s="505">
        <f>IF(J23="","",INDEX(Odds!C:C,MATCH(J23,Odds!G:G,0)))</f>
        <v>6</v>
      </c>
      <c r="D23" s="434">
        <f t="shared" si="2"/>
        <v>1.5</v>
      </c>
      <c r="E23" s="452" t="str">
        <f t="shared" si="3"/>
        <v>√</v>
      </c>
      <c r="F23" s="375">
        <f>IF(J23="",-10,INDEX(Results!T:T,MATCH(A23,Results!V:V,0)))</f>
        <v>-1.375</v>
      </c>
      <c r="G23" s="186">
        <f>IF(J23="","",INDEX(Results!AI:AI,MATCH(A23,Results!V:V,0)))</f>
        <v>7.1428571428571406</v>
      </c>
      <c r="H23" s="204">
        <f>IF(G23="",0,1)</f>
        <v>1</v>
      </c>
      <c r="I23" s="372">
        <f>INDEX(Picks!AG:AG,MATCH(A23,Picks!AD:AD,0))</f>
        <v>16</v>
      </c>
      <c r="J23" s="435" t="s">
        <v>609</v>
      </c>
      <c r="K23" s="187" t="str">
        <f>INDEX(Odds!H:H,MATCH(J23,Odds!G:G,0))</f>
        <v>1/2</v>
      </c>
      <c r="L23" s="436">
        <f>INDEX(Odds!I:I,MATCH(J23,Odds!G:G,0))</f>
        <v>1.5</v>
      </c>
      <c r="M23" s="450">
        <f>INDEX(Odds!J:J,MATCH(J23,Odds!G:G,0))</f>
        <v>1</v>
      </c>
      <c r="N23" s="438">
        <f t="shared" si="4"/>
        <v>1.5</v>
      </c>
      <c r="O23" s="561"/>
      <c r="P23" s="558" t="str">
        <f>IF(Match!B23="","",Match!V23)</f>
        <v xml:space="preserve">Stevenage 0-0 Bolton </v>
      </c>
      <c r="Q23" s="88"/>
      <c r="R23" s="35" t="str">
        <f>IF(Odds!G23="","",Odds!G23)</f>
        <v>Stevenage</v>
      </c>
      <c r="S23" s="36" t="str">
        <f>INDEX(Odds!H:H,MATCH(R23,Odds!G:G,0))</f>
        <v>17/10</v>
      </c>
      <c r="T23" s="40">
        <f t="shared" si="0"/>
        <v>0</v>
      </c>
      <c r="U23" s="20" t="str">
        <f>INDEX(Match!Q:Q,MATCH(P23,Match!V:V,0))</f>
        <v>Stevenage</v>
      </c>
      <c r="V23" s="20">
        <f>INDEX(Match!G:G,MATCH(P23,Match!V:V,0))</f>
        <v>0</v>
      </c>
      <c r="W23" s="20" t="str">
        <f>INDEX(Match!R:R,MATCH(P23,Match!V:V,0))</f>
        <v>Bolton</v>
      </c>
      <c r="X23" s="20">
        <f>INDEX(Match!H:H,MATCH(P23,Match!V:V,0))</f>
        <v>0</v>
      </c>
      <c r="AB23" s="565" t="str">
        <f>IF(O23="","",INDEX(Odds!H:H,MATCH(O23,Odds!G:G,0)))</f>
        <v/>
      </c>
      <c r="AC23" s="586">
        <f>IF(J23="","",INDEX(Odds!K:K,MATCH(J23,Odds!G:G,0)))</f>
        <v>1</v>
      </c>
      <c r="AD23" s="69" t="s">
        <v>278</v>
      </c>
      <c r="AE23" s="72">
        <f>INDEX(Picks!F:F,MATCH(AD23,Picks!A:A,0))</f>
        <v>-4.7</v>
      </c>
      <c r="AF23" s="430">
        <f>INDEX(Weekly!I:I,MATCH(AD23,Weekly!E:E,0))</f>
        <v>1</v>
      </c>
      <c r="AG23" s="69">
        <f>IF(AE23=-10,"",_xlfn.RANK.EQ(AE23,TopScores,0))</f>
        <v>22</v>
      </c>
      <c r="AI23" s="71" t="s">
        <v>272</v>
      </c>
      <c r="AJ23" s="72">
        <f>INDEX(Picks!G:G,MATCH(AI23,Picks!A:A,0))</f>
        <v>37.20812500000001</v>
      </c>
      <c r="AK23" s="430">
        <f>INDEX(Weekly!I:I,MATCH(AI23,Weekly!E:E,0))</f>
        <v>2</v>
      </c>
      <c r="AL23" s="69">
        <f>IF(AJ23="","",_xlfn.RANK.EQ(AJ23,TopMaxScores,0))</f>
        <v>14</v>
      </c>
    </row>
    <row r="24" spans="1:38">
      <c r="A24" s="623" t="str">
        <f>A23</f>
        <v>Barry Birchall</v>
      </c>
      <c r="B24" s="439" t="str">
        <f t="shared" si="1"/>
        <v>Peterborough</v>
      </c>
      <c r="C24" s="505">
        <f>IF(J24="","",INDEX(Odds!C:C,MATCH(J24,Odds!G:G,0)))</f>
        <v>6</v>
      </c>
      <c r="D24" s="440">
        <f t="shared" si="2"/>
        <v>1.2857142857142856</v>
      </c>
      <c r="E24" s="453" t="str">
        <f t="shared" si="3"/>
        <v>x</v>
      </c>
      <c r="F24" s="441"/>
      <c r="G24" s="442"/>
      <c r="H24" s="204"/>
      <c r="I24" s="373"/>
      <c r="J24" s="435" t="s">
        <v>628</v>
      </c>
      <c r="K24" s="188" t="str">
        <f>INDEX(Odds!H:H,MATCH(J24,Odds!G:G,0))</f>
        <v>2/7</v>
      </c>
      <c r="L24" s="443">
        <f>INDEX(Odds!I:I,MATCH(J24,Odds!G:G,0))</f>
        <v>1.2857142857142856</v>
      </c>
      <c r="M24" s="437">
        <f>INDEX(Odds!J:J,MATCH(J24,Odds!G:G,0))</f>
        <v>0</v>
      </c>
      <c r="N24" s="438">
        <f t="shared" si="4"/>
        <v>0</v>
      </c>
      <c r="O24" s="561"/>
      <c r="P24" s="558" t="str">
        <f>IF(Match!B24="","",Match!V24)</f>
        <v xml:space="preserve">Wigan 1-1 Burton </v>
      </c>
      <c r="Q24" s="88"/>
      <c r="R24" s="35" t="str">
        <f>IF(Odds!G24="","",Odds!G24)</f>
        <v>Wigan</v>
      </c>
      <c r="S24" s="36" t="str">
        <f>INDEX(Odds!H:H,MATCH(R24,Odds!G:G,0))</f>
        <v>19/20</v>
      </c>
      <c r="T24" s="40">
        <f t="shared" si="0"/>
        <v>0</v>
      </c>
      <c r="U24" s="20" t="str">
        <f>INDEX(Match!Q:Q,MATCH(P24,Match!V:V,0))</f>
        <v>Wigan</v>
      </c>
      <c r="V24" s="20">
        <f>INDEX(Match!G:G,MATCH(P24,Match!V:V,0))</f>
        <v>1</v>
      </c>
      <c r="W24" s="20" t="str">
        <f>INDEX(Match!R:R,MATCH(P24,Match!V:V,0))</f>
        <v>Burton</v>
      </c>
      <c r="X24" s="20">
        <f>INDEX(Match!H:H,MATCH(P24,Match!V:V,0))</f>
        <v>1</v>
      </c>
      <c r="AB24" s="565" t="str">
        <f>IF(O24="","",INDEX(Odds!H:H,MATCH(O24,Odds!G:G,0)))</f>
        <v/>
      </c>
      <c r="AC24" s="586">
        <f>IF(J24="","",INDEX(Odds!K:K,MATCH(J24,Odds!G:G,0)))</f>
        <v>1</v>
      </c>
      <c r="AD24" s="69" t="s">
        <v>509</v>
      </c>
      <c r="AE24" s="72">
        <f>INDEX(Picks!F:F,MATCH(AD24,Picks!A:A,0))</f>
        <v>-4.8499999999999996</v>
      </c>
      <c r="AF24" s="430">
        <f>INDEX(Weekly!I:I,MATCH(AD24,Weekly!E:E,0))</f>
        <v>1</v>
      </c>
      <c r="AG24" s="69">
        <f>IF(AE24=-10,"",_xlfn.RANK.EQ(AE24,TopScores,0))</f>
        <v>23</v>
      </c>
      <c r="AI24" s="71" t="s">
        <v>299</v>
      </c>
      <c r="AJ24" s="72">
        <f>INDEX(Picks!G:G,MATCH(AI24,Picks!A:A,0))</f>
        <v>33.816249999999997</v>
      </c>
      <c r="AK24" s="430">
        <f>INDEX(Weekly!I:I,MATCH(AI24,Weekly!E:E,0))</f>
        <v>1</v>
      </c>
      <c r="AL24" s="69">
        <f>IF(AJ24="","",_xlfn.RANK.EQ(AJ24,TopMaxScores,0))</f>
        <v>15</v>
      </c>
    </row>
    <row r="25" spans="1:38" ht="13.5" thickBot="1">
      <c r="A25" s="624" t="str">
        <f>A23</f>
        <v>Barry Birchall</v>
      </c>
      <c r="B25" s="444" t="str">
        <f t="shared" si="1"/>
        <v>Stockport</v>
      </c>
      <c r="C25" s="506">
        <f>IF(J25="","",INDEX(Odds!C:C,MATCH(J25,Odds!G:G,0)))</f>
        <v>6</v>
      </c>
      <c r="D25" s="445">
        <f t="shared" si="2"/>
        <v>1.65</v>
      </c>
      <c r="E25" s="453" t="str">
        <f t="shared" si="3"/>
        <v>√</v>
      </c>
      <c r="F25" s="441"/>
      <c r="G25" s="442"/>
      <c r="H25" s="204"/>
      <c r="I25" s="373"/>
      <c r="J25" s="446" t="s">
        <v>594</v>
      </c>
      <c r="K25" s="189" t="str">
        <f>INDEX(Odds!H:H,MATCH(J25,Odds!G:G,0))</f>
        <v>13/20</v>
      </c>
      <c r="L25" s="447">
        <f>INDEX(Odds!I:I,MATCH(J25,Odds!G:G,0))</f>
        <v>1.65</v>
      </c>
      <c r="M25" s="437">
        <f>INDEX(Odds!J:J,MATCH(J25,Odds!G:G,0))</f>
        <v>1</v>
      </c>
      <c r="N25" s="448">
        <f t="shared" si="4"/>
        <v>1.65</v>
      </c>
      <c r="O25" s="562"/>
      <c r="P25" s="558" t="str">
        <f>IF(Match!B25="","",Match!V25)</f>
        <v xml:space="preserve">Wycombe 1-3 Portsmouth </v>
      </c>
      <c r="Q25" s="88"/>
      <c r="R25" s="35" t="str">
        <f>IF(Odds!G25="","",Odds!G25)</f>
        <v>Wycombe</v>
      </c>
      <c r="S25" s="36" t="str">
        <f>INDEX(Odds!H:H,MATCH(R25,Odds!G:G,0))</f>
        <v>11/5</v>
      </c>
      <c r="T25" s="40">
        <f t="shared" si="0"/>
        <v>0</v>
      </c>
      <c r="U25" s="20" t="str">
        <f>INDEX(Match!Q:Q,MATCH(P25,Match!V:V,0))</f>
        <v>Wycombe</v>
      </c>
      <c r="V25" s="20">
        <f>INDEX(Match!G:G,MATCH(P25,Match!V:V,0))</f>
        <v>1</v>
      </c>
      <c r="W25" s="20" t="str">
        <f>INDEX(Match!R:R,MATCH(P25,Match!V:V,0))</f>
        <v>Portsmouth</v>
      </c>
      <c r="X25" s="20">
        <f>INDEX(Match!H:H,MATCH(P25,Match!V:V,0))</f>
        <v>3</v>
      </c>
      <c r="AB25" s="566" t="str">
        <f>IF(O25="","",INDEX(Odds!H:H,MATCH(O25,Odds!G:G,0)))</f>
        <v/>
      </c>
      <c r="AC25" s="586">
        <f>IF(J25="","",INDEX(Odds!K:K,MATCH(J25,Odds!G:G,0)))</f>
        <v>1</v>
      </c>
      <c r="AD25" s="69" t="s">
        <v>299</v>
      </c>
      <c r="AE25" s="72">
        <f>INDEX(Picks!F:F,MATCH(AD25,Picks!A:A,0))</f>
        <v>-4.8499999999999996</v>
      </c>
      <c r="AF25" s="430">
        <f>INDEX(Weekly!I:I,MATCH(AD25,Weekly!E:E,0))</f>
        <v>1</v>
      </c>
      <c r="AG25" s="69">
        <f>IF(AE25=-10,"",_xlfn.RANK.EQ(AE25,TopScores,0))</f>
        <v>23</v>
      </c>
      <c r="AI25" s="69" t="s">
        <v>314</v>
      </c>
      <c r="AJ25" s="72">
        <f>INDEX(Picks!G:G,MATCH(AI25,Picks!A:A,0))</f>
        <v>31.825000000000003</v>
      </c>
      <c r="AK25" s="430">
        <f>INDEX(Weekly!I:I,MATCH(AI25,Weekly!E:E,0))</f>
        <v>1</v>
      </c>
      <c r="AL25" s="69">
        <f>IF(AJ25="","",_xlfn.RANK.EQ(AJ25,TopMaxScores,0))</f>
        <v>16</v>
      </c>
    </row>
    <row r="26" spans="1:38" ht="13.9" thickTop="1" thickBot="1">
      <c r="A26" s="433" t="str">
        <f>Results!B26</f>
        <v>Ben Rosser</v>
      </c>
      <c r="B26" s="449" t="str">
        <f t="shared" si="1"/>
        <v>Forest</v>
      </c>
      <c r="C26" s="505">
        <f>IF(J26="","",INDEX(Odds!C:C,MATCH(J26,Odds!G:G,0)))</f>
        <v>7</v>
      </c>
      <c r="D26" s="434">
        <f t="shared" si="2"/>
        <v>2.2000000000000002</v>
      </c>
      <c r="E26" s="452" t="str">
        <f t="shared" si="3"/>
        <v>x</v>
      </c>
      <c r="F26" s="375">
        <f>IF(J26="",-10,INDEX(Results!T:T,MATCH(A26,Results!V:V,0)))</f>
        <v>-7</v>
      </c>
      <c r="G26" s="186">
        <f>IF(J26="","",INDEX(Results!AI:AI,MATCH(A26,Results!V:V,0)))</f>
        <v>64.192000000000007</v>
      </c>
      <c r="H26" s="204">
        <f>IF(G26="",0,1)</f>
        <v>1</v>
      </c>
      <c r="I26" s="372">
        <f>INDEX(Picks!AG:AG,MATCH(A26,Picks!AD:AD,0))</f>
        <v>35</v>
      </c>
      <c r="J26" s="435" t="s">
        <v>643</v>
      </c>
      <c r="K26" s="187" t="str">
        <f>INDEX(Odds!H:H,MATCH(J26,Odds!G:G,0))</f>
        <v>6/5</v>
      </c>
      <c r="L26" s="436">
        <f>INDEX(Odds!I:I,MATCH(J26,Odds!G:G,0))</f>
        <v>2.2000000000000002</v>
      </c>
      <c r="M26" s="450">
        <f>INDEX(Odds!J:J,MATCH(J26,Odds!G:G,0))</f>
        <v>0</v>
      </c>
      <c r="N26" s="438">
        <f t="shared" si="4"/>
        <v>0</v>
      </c>
      <c r="O26" s="561"/>
      <c r="P26" s="558" t="str">
        <f>IF(Match!B26="","",Match!V26)</f>
        <v xml:space="preserve">Accrington 1-2 Morecambe </v>
      </c>
      <c r="Q26" s="88"/>
      <c r="R26" s="35" t="str">
        <f>IF(Odds!G26="","",Odds!G26)</f>
        <v>Accrington</v>
      </c>
      <c r="S26" s="36" t="str">
        <f>INDEX(Odds!H:H,MATCH(R26,Odds!G:G,0))</f>
        <v>11/10</v>
      </c>
      <c r="T26" s="40">
        <f t="shared" si="0"/>
        <v>0</v>
      </c>
      <c r="U26" s="20" t="str">
        <f>INDEX(Match!Q:Q,MATCH(P26,Match!V:V,0))</f>
        <v>Accrington</v>
      </c>
      <c r="V26" s="20">
        <f>INDEX(Match!G:G,MATCH(P26,Match!V:V,0))</f>
        <v>1</v>
      </c>
      <c r="W26" s="20" t="str">
        <f>INDEX(Match!R:R,MATCH(P26,Match!V:V,0))</f>
        <v>Morecambe</v>
      </c>
      <c r="X26" s="20">
        <f>INDEX(Match!H:H,MATCH(P26,Match!V:V,0))</f>
        <v>2</v>
      </c>
      <c r="AB26" s="565" t="str">
        <f>IF(O26="","",INDEX(Odds!H:H,MATCH(O26,Odds!G:G,0)))</f>
        <v/>
      </c>
      <c r="AC26" s="586">
        <f>IF(J26="","",INDEX(Odds!K:K,MATCH(J26,Odds!G:G,0)))</f>
        <v>1</v>
      </c>
      <c r="AD26" s="69" t="s">
        <v>435</v>
      </c>
      <c r="AE26" s="72">
        <f>INDEX(Picks!F:F,MATCH(AD26,Picks!A:A,0))</f>
        <v>-4.9000000000000004</v>
      </c>
      <c r="AF26" s="430">
        <f>INDEX(Weekly!I:I,MATCH(AD26,Weekly!E:E,0))</f>
        <v>1</v>
      </c>
      <c r="AG26" s="69">
        <f>IF(AE26=-10,"",_xlfn.RANK.EQ(AE26,TopScores,0))</f>
        <v>25</v>
      </c>
      <c r="AI26" s="71" t="s">
        <v>278</v>
      </c>
      <c r="AJ26" s="72">
        <f>INDEX(Picks!G:G,MATCH(AI26,Picks!A:A,0))</f>
        <v>31.270000000000003</v>
      </c>
      <c r="AK26" s="430">
        <f>INDEX(Weekly!I:I,MATCH(AI26,Weekly!E:E,0))</f>
        <v>1</v>
      </c>
      <c r="AL26" s="69">
        <f>IF(AJ26="","",_xlfn.RANK.EQ(AJ26,TopMaxScores,0))</f>
        <v>17</v>
      </c>
    </row>
    <row r="27" spans="1:38">
      <c r="A27" s="623" t="str">
        <f>A26</f>
        <v>Ben Rosser</v>
      </c>
      <c r="B27" s="439" t="str">
        <f t="shared" si="1"/>
        <v>West Ham</v>
      </c>
      <c r="C27" s="505">
        <f>IF(J27="","",INDEX(Odds!C:C,MATCH(J27,Odds!G:G,0)))</f>
        <v>7</v>
      </c>
      <c r="D27" s="440">
        <f t="shared" si="2"/>
        <v>3.7</v>
      </c>
      <c r="E27" s="453" t="str">
        <f t="shared" si="3"/>
        <v>x</v>
      </c>
      <c r="F27" s="441"/>
      <c r="G27" s="442"/>
      <c r="H27" s="204"/>
      <c r="I27" s="373"/>
      <c r="J27" s="435" t="s">
        <v>428</v>
      </c>
      <c r="K27" s="188" t="str">
        <f>INDEX(Odds!H:H,MATCH(J27,Odds!G:G,0))</f>
        <v>27/10</v>
      </c>
      <c r="L27" s="443">
        <f>INDEX(Odds!I:I,MATCH(J27,Odds!G:G,0))</f>
        <v>3.7</v>
      </c>
      <c r="M27" s="437">
        <f>INDEX(Odds!J:J,MATCH(J27,Odds!G:G,0))</f>
        <v>0</v>
      </c>
      <c r="N27" s="438">
        <f t="shared" si="4"/>
        <v>0</v>
      </c>
      <c r="O27" s="561"/>
      <c r="P27" s="558" t="str">
        <f>IF(Match!B27="","",Match!V27)</f>
        <v xml:space="preserve">Barrow 3-1 Grimsby </v>
      </c>
      <c r="Q27" s="88"/>
      <c r="R27" s="35" t="str">
        <f>IF(Odds!G27="","",Odds!G27)</f>
        <v>Barrow</v>
      </c>
      <c r="S27" s="36" t="str">
        <f>INDEX(Odds!H:H,MATCH(R27,Odds!G:G,0))</f>
        <v>19/20</v>
      </c>
      <c r="T27" s="40">
        <f t="shared" si="0"/>
        <v>1</v>
      </c>
      <c r="U27" s="20" t="str">
        <f>INDEX(Match!Q:Q,MATCH(P27,Match!V:V,0))</f>
        <v>Barrow</v>
      </c>
      <c r="V27" s="20">
        <f>INDEX(Match!G:G,MATCH(P27,Match!V:V,0))</f>
        <v>3</v>
      </c>
      <c r="W27" s="20" t="str">
        <f>INDEX(Match!R:R,MATCH(P27,Match!V:V,0))</f>
        <v>Grimsby</v>
      </c>
      <c r="X27" s="20">
        <f>INDEX(Match!H:H,MATCH(P27,Match!V:V,0))</f>
        <v>1</v>
      </c>
      <c r="AB27" s="565" t="str">
        <f>IF(O27="","",INDEX(Odds!H:H,MATCH(O27,Odds!G:G,0)))</f>
        <v/>
      </c>
      <c r="AC27" s="586">
        <f>IF(J27="","",INDEX(Odds!K:K,MATCH(J27,Odds!G:G,0)))</f>
        <v>1</v>
      </c>
      <c r="AD27" s="69" t="s">
        <v>306</v>
      </c>
      <c r="AE27" s="72">
        <f>INDEX(Picks!F:F,MATCH(AD27,Picks!A:A,0))</f>
        <v>-4.9000000000000004</v>
      </c>
      <c r="AF27" s="430">
        <f>INDEX(Weekly!I:I,MATCH(AD27,Weekly!E:E,0))</f>
        <v>1</v>
      </c>
      <c r="AG27" s="69">
        <f>IF(AE27=-10,"",_xlfn.RANK.EQ(AE27,TopScores,0))</f>
        <v>25</v>
      </c>
      <c r="AI27" s="71" t="s">
        <v>271</v>
      </c>
      <c r="AJ27" s="72">
        <f>INDEX(Picks!G:G,MATCH(AI27,Picks!A:A,0))</f>
        <v>27.150769230769228</v>
      </c>
      <c r="AK27" s="430">
        <f>INDEX(Weekly!I:I,MATCH(AI27,Weekly!E:E,0))</f>
        <v>0</v>
      </c>
      <c r="AL27" s="69">
        <f>IF(AJ27="","",_xlfn.RANK.EQ(AJ27,TopMaxScores,0))</f>
        <v>18</v>
      </c>
    </row>
    <row r="28" spans="1:38" ht="13.5" thickBot="1">
      <c r="A28" s="624" t="str">
        <f>A26</f>
        <v>Ben Rosser</v>
      </c>
      <c r="B28" s="444" t="str">
        <f t="shared" si="1"/>
        <v>Arsenal</v>
      </c>
      <c r="C28" s="506">
        <f>IF(J28="","",INDEX(Odds!C:C,MATCH(J28,Odds!G:G,0)))</f>
        <v>1</v>
      </c>
      <c r="D28" s="445">
        <f t="shared" si="2"/>
        <v>3.8</v>
      </c>
      <c r="E28" s="453" t="str">
        <f t="shared" si="3"/>
        <v>x</v>
      </c>
      <c r="F28" s="441"/>
      <c r="G28" s="442"/>
      <c r="H28" s="204"/>
      <c r="I28" s="373"/>
      <c r="J28" s="446" t="s">
        <v>651</v>
      </c>
      <c r="K28" s="189" t="str">
        <f>INDEX(Odds!H:H,MATCH(J28,Odds!G:G,0))</f>
        <v>14/5</v>
      </c>
      <c r="L28" s="447">
        <f>INDEX(Odds!I:I,MATCH(J28,Odds!G:G,0))</f>
        <v>3.8</v>
      </c>
      <c r="M28" s="437">
        <f>INDEX(Odds!J:J,MATCH(J28,Odds!G:G,0))</f>
        <v>0</v>
      </c>
      <c r="N28" s="448">
        <f t="shared" si="4"/>
        <v>0</v>
      </c>
      <c r="O28" s="562"/>
      <c r="P28" s="558" t="str">
        <f>IF(Match!B28="","",Match!V28)</f>
        <v xml:space="preserve">Bradford 2-0 Tranmere </v>
      </c>
      <c r="Q28" s="88"/>
      <c r="R28" s="35" t="str">
        <f>IF(Odds!G28="","",Odds!G28)</f>
        <v>Bradford</v>
      </c>
      <c r="S28" s="36" t="str">
        <f>INDEX(Odds!H:H,MATCH(R28,Odds!G:G,0))</f>
        <v>1/1</v>
      </c>
      <c r="T28" s="40">
        <f t="shared" si="0"/>
        <v>1</v>
      </c>
      <c r="U28" s="20" t="str">
        <f>INDEX(Match!Q:Q,MATCH(P28,Match!V:V,0))</f>
        <v>Bradford</v>
      </c>
      <c r="V28" s="20">
        <f>INDEX(Match!G:G,MATCH(P28,Match!V:V,0))</f>
        <v>2</v>
      </c>
      <c r="W28" s="20" t="str">
        <f>INDEX(Match!R:R,MATCH(P28,Match!V:V,0))</f>
        <v>Tranmere</v>
      </c>
      <c r="X28" s="20">
        <f>INDEX(Match!H:H,MATCH(P28,Match!V:V,0))</f>
        <v>0</v>
      </c>
      <c r="AB28" s="566" t="str">
        <f>IF(O28="","",INDEX(Odds!H:H,MATCH(O28,Odds!G:G,0)))</f>
        <v/>
      </c>
      <c r="AC28" s="586">
        <f>IF(J28="","",INDEX(Odds!K:K,MATCH(J28,Odds!G:G,0)))</f>
        <v>1</v>
      </c>
      <c r="AD28" s="69" t="s">
        <v>293</v>
      </c>
      <c r="AE28" s="72">
        <f>INDEX(Picks!F:F,MATCH(AD28,Picks!A:A,0))</f>
        <v>-5</v>
      </c>
      <c r="AF28" s="430">
        <f>INDEX(Weekly!I:I,MATCH(AD28,Weekly!E:E,0))</f>
        <v>1</v>
      </c>
      <c r="AG28" s="69">
        <f>IF(AE28=-10,"",_xlfn.RANK.EQ(AE28,TopScores,0))</f>
        <v>27</v>
      </c>
      <c r="AI28" s="71" t="s">
        <v>276</v>
      </c>
      <c r="AJ28" s="72">
        <f>INDEX(Picks!G:G,MATCH(AI28,Picks!A:A,0))</f>
        <v>26.456499999999998</v>
      </c>
      <c r="AK28" s="430">
        <f>INDEX(Weekly!I:I,MATCH(AI28,Weekly!E:E,0))</f>
        <v>2</v>
      </c>
      <c r="AL28" s="69">
        <f>IF(AJ28="","",_xlfn.RANK.EQ(AJ28,TopMaxScores,0))</f>
        <v>19</v>
      </c>
    </row>
    <row r="29" spans="1:38" ht="13.9" thickTop="1" thickBot="1">
      <c r="A29" s="433" t="str">
        <f>Results!B29</f>
        <v>Bob Bailey</v>
      </c>
      <c r="B29" s="449" t="str">
        <f t="shared" si="1"/>
        <v/>
      </c>
      <c r="C29" s="505" t="str">
        <f>IF(J29="","",INDEX(Odds!C:C,MATCH(J29,Odds!G:G,0)))</f>
        <v/>
      </c>
      <c r="D29" s="434" t="str">
        <f t="shared" si="2"/>
        <v/>
      </c>
      <c r="E29" s="452" t="str">
        <f t="shared" si="3"/>
        <v/>
      </c>
      <c r="F29" s="375">
        <f>IF(J29="",-10,INDEX(Results!T:T,MATCH(A29,Results!V:V,0)))</f>
        <v>-10</v>
      </c>
      <c r="G29" s="186" t="str">
        <f>IF(J29="","",INDEX(Results!AI:AI,MATCH(A29,Results!V:V,0)))</f>
        <v/>
      </c>
      <c r="H29" s="204">
        <f>IF(G29="",0,1)</f>
        <v>0</v>
      </c>
      <c r="I29" s="372" t="str">
        <f>INDEX(Picks!AG:AG,MATCH(A29,Picks!AD:AD,0))</f>
        <v/>
      </c>
      <c r="J29" s="435"/>
      <c r="K29" s="187" t="e">
        <f>INDEX(Odds!H:H,MATCH(J29,Odds!G:G,0))</f>
        <v>#N/A</v>
      </c>
      <c r="L29" s="436" t="e">
        <f>INDEX(Odds!I:I,MATCH(J29,Odds!G:G,0))</f>
        <v>#N/A</v>
      </c>
      <c r="M29" s="450" t="e">
        <f>INDEX(Odds!J:J,MATCH(J29,Odds!G:G,0))</f>
        <v>#N/A</v>
      </c>
      <c r="N29" s="438" t="e">
        <f t="shared" si="4"/>
        <v>#N/A</v>
      </c>
      <c r="O29" s="561"/>
      <c r="P29" s="558" t="str">
        <f>IF(Match!B29="","",Match!V29)</f>
        <v xml:space="preserve">Colchester 2-1 Newport </v>
      </c>
      <c r="Q29" s="88"/>
      <c r="R29" s="35" t="str">
        <f>IF(Odds!G29="","",Odds!G29)</f>
        <v>Colchester</v>
      </c>
      <c r="S29" s="36" t="str">
        <f>INDEX(Odds!H:H,MATCH(R29,Odds!G:G,0))</f>
        <v>1/1</v>
      </c>
      <c r="T29" s="40">
        <f t="shared" si="0"/>
        <v>1</v>
      </c>
      <c r="U29" s="20" t="str">
        <f>INDEX(Match!Q:Q,MATCH(P29,Match!V:V,0))</f>
        <v>Colchester</v>
      </c>
      <c r="V29" s="20">
        <f>INDEX(Match!G:G,MATCH(P29,Match!V:V,0))</f>
        <v>2</v>
      </c>
      <c r="W29" s="20" t="str">
        <f>INDEX(Match!R:R,MATCH(P29,Match!V:V,0))</f>
        <v>Newport</v>
      </c>
      <c r="X29" s="20">
        <f>INDEX(Match!H:H,MATCH(P29,Match!V:V,0))</f>
        <v>1</v>
      </c>
      <c r="AB29" s="565" t="str">
        <f>IF(O29="","",INDEX(Odds!H:H,MATCH(O29,Odds!G:G,0)))</f>
        <v/>
      </c>
      <c r="AC29" s="586" t="str">
        <f>IF(J29="","",INDEX(Odds!K:K,MATCH(J29,Odds!G:G,0)))</f>
        <v/>
      </c>
      <c r="AD29" s="69" t="s">
        <v>314</v>
      </c>
      <c r="AE29" s="72">
        <f>INDEX(Picks!F:F,MATCH(AD29,Picks!A:A,0))</f>
        <v>-5</v>
      </c>
      <c r="AF29" s="430">
        <f>INDEX(Weekly!I:I,MATCH(AD29,Weekly!E:E,0))</f>
        <v>1</v>
      </c>
      <c r="AG29" s="69">
        <f>IF(AE29=-10,"",_xlfn.RANK.EQ(AE29,TopScores,0))</f>
        <v>27</v>
      </c>
      <c r="AI29" s="71" t="s">
        <v>306</v>
      </c>
      <c r="AJ29" s="72">
        <f>INDEX(Picks!G:G,MATCH(AI29,Picks!A:A,0))</f>
        <v>23.744000000000007</v>
      </c>
      <c r="AK29" s="430">
        <f>INDEX(Weekly!I:I,MATCH(AI29,Weekly!E:E,0))</f>
        <v>1</v>
      </c>
      <c r="AL29" s="69">
        <f>IF(AJ29="","",_xlfn.RANK.EQ(AJ29,TopMaxScores,0))</f>
        <v>20</v>
      </c>
    </row>
    <row r="30" spans="1:38">
      <c r="A30" s="623" t="str">
        <f>A29</f>
        <v>Bob Bailey</v>
      </c>
      <c r="B30" s="439" t="str">
        <f t="shared" si="1"/>
        <v/>
      </c>
      <c r="C30" s="505" t="str">
        <f>IF(J30="","",INDEX(Odds!C:C,MATCH(J30,Odds!G:G,0)))</f>
        <v/>
      </c>
      <c r="D30" s="440" t="str">
        <f t="shared" si="2"/>
        <v/>
      </c>
      <c r="E30" s="453" t="str">
        <f t="shared" si="3"/>
        <v/>
      </c>
      <c r="F30" s="441"/>
      <c r="G30" s="442"/>
      <c r="H30" s="204"/>
      <c r="I30" s="373"/>
      <c r="J30" s="435"/>
      <c r="K30" s="188" t="e">
        <f>INDEX(Odds!H:H,MATCH(J30,Odds!G:G,0))</f>
        <v>#N/A</v>
      </c>
      <c r="L30" s="443" t="e">
        <f>INDEX(Odds!I:I,MATCH(J30,Odds!G:G,0))</f>
        <v>#N/A</v>
      </c>
      <c r="M30" s="437" t="e">
        <f>INDEX(Odds!J:J,MATCH(J30,Odds!G:G,0))</f>
        <v>#N/A</v>
      </c>
      <c r="N30" s="438" t="e">
        <f t="shared" si="4"/>
        <v>#N/A</v>
      </c>
      <c r="O30" s="561"/>
      <c r="P30" s="558" t="str">
        <f>IF(Match!B30="","",Match!V30)</f>
        <v xml:space="preserve">Crawley 0-2 Doncaster </v>
      </c>
      <c r="Q30" s="88"/>
      <c r="R30" s="35" t="str">
        <f>IF(Odds!G30="","",Odds!G30)</f>
        <v>Crawley</v>
      </c>
      <c r="S30" s="36" t="str">
        <f>INDEX(Odds!H:H,MATCH(R30,Odds!G:G,0))</f>
        <v>23/20</v>
      </c>
      <c r="T30" s="40">
        <f t="shared" si="0"/>
        <v>0</v>
      </c>
      <c r="U30" s="20" t="str">
        <f>INDEX(Match!Q:Q,MATCH(P30,Match!V:V,0))</f>
        <v>Crawley</v>
      </c>
      <c r="V30" s="20">
        <f>INDEX(Match!G:G,MATCH(P30,Match!V:V,0))</f>
        <v>0</v>
      </c>
      <c r="W30" s="20" t="str">
        <f>INDEX(Match!R:R,MATCH(P30,Match!V:V,0))</f>
        <v>Doncaster</v>
      </c>
      <c r="X30" s="20">
        <f>INDEX(Match!H:H,MATCH(P30,Match!V:V,0))</f>
        <v>2</v>
      </c>
      <c r="AB30" s="565" t="str">
        <f>IF(O30="","",INDEX(Odds!H:H,MATCH(O30,Odds!G:G,0)))</f>
        <v/>
      </c>
      <c r="AC30" s="586" t="str">
        <f>IF(J30="","",INDEX(Odds!K:K,MATCH(J30,Odds!G:G,0)))</f>
        <v/>
      </c>
      <c r="AD30" s="69" t="s">
        <v>305</v>
      </c>
      <c r="AE30" s="72">
        <f>INDEX(Picks!F:F,MATCH(AD30,Picks!A:A,0))</f>
        <v>-5</v>
      </c>
      <c r="AF30" s="430">
        <f>INDEX(Weekly!I:I,MATCH(AD30,Weekly!E:E,0))</f>
        <v>1</v>
      </c>
      <c r="AG30" s="69">
        <f>IF(AE30=-10,"",_xlfn.RANK.EQ(AE30,TopScores,0))</f>
        <v>27</v>
      </c>
      <c r="AI30" s="69" t="s">
        <v>287</v>
      </c>
      <c r="AJ30" s="72">
        <f>INDEX(Picks!G:G,MATCH(AI30,Picks!A:A,0))</f>
        <v>23.387500000000003</v>
      </c>
      <c r="AK30" s="430">
        <f>INDEX(Weekly!I:I,MATCH(AI30,Weekly!E:E,0))</f>
        <v>2</v>
      </c>
      <c r="AL30" s="69">
        <f>IF(AJ30="","",_xlfn.RANK.EQ(AJ30,TopMaxScores,0))</f>
        <v>21</v>
      </c>
    </row>
    <row r="31" spans="1:38" ht="13.5" thickBot="1">
      <c r="A31" s="624" t="str">
        <f>A29</f>
        <v>Bob Bailey</v>
      </c>
      <c r="B31" s="444" t="str">
        <f t="shared" si="1"/>
        <v/>
      </c>
      <c r="C31" s="506" t="str">
        <f>IF(J31="","",INDEX(Odds!C:C,MATCH(J31,Odds!G:G,0)))</f>
        <v/>
      </c>
      <c r="D31" s="445" t="str">
        <f t="shared" si="2"/>
        <v/>
      </c>
      <c r="E31" s="453" t="str">
        <f t="shared" si="3"/>
        <v/>
      </c>
      <c r="F31" s="441"/>
      <c r="G31" s="442"/>
      <c r="H31" s="204"/>
      <c r="I31" s="373"/>
      <c r="J31" s="446"/>
      <c r="K31" s="189" t="e">
        <f>INDEX(Odds!H:H,MATCH(J31,Odds!G:G,0))</f>
        <v>#N/A</v>
      </c>
      <c r="L31" s="447" t="e">
        <f>INDEX(Odds!I:I,MATCH(J31,Odds!G:G,0))</f>
        <v>#N/A</v>
      </c>
      <c r="M31" s="437" t="e">
        <f>INDEX(Odds!J:J,MATCH(J31,Odds!G:G,0))</f>
        <v>#N/A</v>
      </c>
      <c r="N31" s="448" t="e">
        <f t="shared" si="4"/>
        <v>#N/A</v>
      </c>
      <c r="O31" s="562"/>
      <c r="P31" s="558" t="str">
        <f>IF(Match!B31="","",Match!V31)</f>
        <v xml:space="preserve">Forest Green 0-3 Stockport </v>
      </c>
      <c r="Q31" s="88"/>
      <c r="R31" s="35" t="str">
        <f>IF(Odds!G31="","",Odds!G31)</f>
        <v>Forest Green</v>
      </c>
      <c r="S31" s="36" t="str">
        <f>INDEX(Odds!H:H,MATCH(R31,Odds!G:G,0))</f>
        <v>4/1</v>
      </c>
      <c r="T31" s="40">
        <f t="shared" si="0"/>
        <v>0</v>
      </c>
      <c r="U31" s="20" t="str">
        <f>INDEX(Match!Q:Q,MATCH(P31,Match!V:V,0))</f>
        <v>Forest Green</v>
      </c>
      <c r="V31" s="20">
        <f>INDEX(Match!G:G,MATCH(P31,Match!V:V,0))</f>
        <v>0</v>
      </c>
      <c r="W31" s="20" t="str">
        <f>INDEX(Match!R:R,MATCH(P31,Match!V:V,0))</f>
        <v>Stockport</v>
      </c>
      <c r="X31" s="20">
        <f>INDEX(Match!H:H,MATCH(P31,Match!V:V,0))</f>
        <v>3</v>
      </c>
      <c r="AB31" s="566" t="str">
        <f>IF(O31="","",INDEX(Odds!H:H,MATCH(O31,Odds!G:G,0)))</f>
        <v/>
      </c>
      <c r="AC31" s="586" t="str">
        <f>IF(J31="","",INDEX(Odds!K:K,MATCH(J31,Odds!G:G,0)))</f>
        <v/>
      </c>
      <c r="AD31" s="69" t="s">
        <v>300</v>
      </c>
      <c r="AE31" s="72">
        <f>INDEX(Picks!F:F,MATCH(AD31,Picks!A:A,0))</f>
        <v>-5.05</v>
      </c>
      <c r="AF31" s="430">
        <f>INDEX(Weekly!I:I,MATCH(AD31,Weekly!E:E,0))</f>
        <v>1</v>
      </c>
      <c r="AG31" s="69">
        <f>IF(AE31=-10,"",_xlfn.RANK.EQ(AE31,TopScores,0))</f>
        <v>30</v>
      </c>
      <c r="AI31" s="71" t="s">
        <v>300</v>
      </c>
      <c r="AJ31" s="72">
        <f>INDEX(Picks!G:G,MATCH(AI31,Picks!A:A,0))</f>
        <v>23.329000000000004</v>
      </c>
      <c r="AK31" s="430">
        <f>INDEX(Weekly!I:I,MATCH(AI31,Weekly!E:E,0))</f>
        <v>1</v>
      </c>
      <c r="AL31" s="69">
        <f>IF(AJ31="","",_xlfn.RANK.EQ(AJ31,TopMaxScores,0))</f>
        <v>22</v>
      </c>
    </row>
    <row r="32" spans="1:38" ht="13.9" thickTop="1" thickBot="1">
      <c r="A32" s="433" t="str">
        <f>Results!B32</f>
        <v>Charlie Griffiths</v>
      </c>
      <c r="B32" s="449" t="str">
        <f t="shared" si="1"/>
        <v>Newport</v>
      </c>
      <c r="C32" s="505">
        <f>IF(J32="","",INDEX(Odds!C:C,MATCH(J32,Odds!G:G,0)))</f>
        <v>6</v>
      </c>
      <c r="D32" s="434">
        <f t="shared" si="2"/>
        <v>3.5</v>
      </c>
      <c r="E32" s="452" t="str">
        <f t="shared" si="3"/>
        <v>x</v>
      </c>
      <c r="F32" s="375">
        <f>IF(J32="",-10,INDEX(Results!T:T,MATCH(A32,Results!V:V,0)))</f>
        <v>-4.8499999999999996</v>
      </c>
      <c r="G32" s="186">
        <f>IF(J32="","",INDEX(Results!AI:AI,MATCH(A32,Results!V:V,0)))</f>
        <v>33.816249999999997</v>
      </c>
      <c r="H32" s="204">
        <f>IF(G32="",0,1)</f>
        <v>1</v>
      </c>
      <c r="I32" s="372">
        <f>INDEX(Picks!AG:AG,MATCH(A32,Picks!AD:AD,0))</f>
        <v>23</v>
      </c>
      <c r="J32" s="435" t="s">
        <v>591</v>
      </c>
      <c r="K32" s="187" t="str">
        <f>INDEX(Odds!H:H,MATCH(J32,Odds!G:G,0))</f>
        <v>5/2</v>
      </c>
      <c r="L32" s="436">
        <f>INDEX(Odds!I:I,MATCH(J32,Odds!G:G,0))</f>
        <v>3.5</v>
      </c>
      <c r="M32" s="450">
        <f>INDEX(Odds!J:J,MATCH(J32,Odds!G:G,0))</f>
        <v>0</v>
      </c>
      <c r="N32" s="438">
        <f t="shared" si="4"/>
        <v>0</v>
      </c>
      <c r="O32" s="561"/>
      <c r="P32" s="558" t="str">
        <f>IF(Match!B32="","",Match!V32)</f>
        <v xml:space="preserve">Gillingham 0-0 Crewe </v>
      </c>
      <c r="Q32" s="88"/>
      <c r="R32" s="35" t="str">
        <f>IF(Odds!G32="","",Odds!G32)</f>
        <v>Gillingham</v>
      </c>
      <c r="S32" s="36" t="str">
        <f>INDEX(Odds!H:H,MATCH(R32,Odds!G:G,0))</f>
        <v>1/1</v>
      </c>
      <c r="T32" s="40">
        <f t="shared" si="0"/>
        <v>0</v>
      </c>
      <c r="U32" s="20" t="str">
        <f>INDEX(Match!Q:Q,MATCH(P32,Match!V:V,0))</f>
        <v>Gillingham</v>
      </c>
      <c r="V32" s="20">
        <f>INDEX(Match!G:G,MATCH(P32,Match!V:V,0))</f>
        <v>0</v>
      </c>
      <c r="W32" s="20" t="str">
        <f>INDEX(Match!R:R,MATCH(P32,Match!V:V,0))</f>
        <v>Crewe</v>
      </c>
      <c r="X32" s="20">
        <f>INDEX(Match!H:H,MATCH(P32,Match!V:V,0))</f>
        <v>0</v>
      </c>
      <c r="AB32" s="565" t="str">
        <f>IF(O32="","",INDEX(Odds!H:H,MATCH(O32,Odds!G:G,0)))</f>
        <v/>
      </c>
      <c r="AC32" s="586">
        <f>IF(J32="","",INDEX(Odds!K:K,MATCH(J32,Odds!G:G,0)))</f>
        <v>1</v>
      </c>
      <c r="AD32" s="69" t="s">
        <v>291</v>
      </c>
      <c r="AE32" s="72">
        <f>INDEX(Picks!F:F,MATCH(AD32,Picks!A:A,0))</f>
        <v>-5.15</v>
      </c>
      <c r="AF32" s="430">
        <f>INDEX(Weekly!I:I,MATCH(AD32,Weekly!E:E,0))</f>
        <v>1</v>
      </c>
      <c r="AG32" s="69">
        <f>IF(AE32=-10,"",_xlfn.RANK.EQ(AE32,TopScores,0))</f>
        <v>31</v>
      </c>
      <c r="AI32" s="71" t="s">
        <v>360</v>
      </c>
      <c r="AJ32" s="72">
        <f>INDEX(Picks!G:G,MATCH(AI32,Picks!A:A,0))</f>
        <v>22.72</v>
      </c>
      <c r="AK32" s="430">
        <f>INDEX(Weekly!I:I,MATCH(AI32,Weekly!E:E,0))</f>
        <v>0</v>
      </c>
      <c r="AL32" s="69">
        <f>IF(AJ32="","",_xlfn.RANK.EQ(AJ32,TopMaxScores,0))</f>
        <v>23</v>
      </c>
    </row>
    <row r="33" spans="1:38">
      <c r="A33" s="623" t="str">
        <f>A32</f>
        <v>Charlie Griffiths</v>
      </c>
      <c r="B33" s="439" t="str">
        <f t="shared" si="1"/>
        <v>Portsmouth</v>
      </c>
      <c r="C33" s="505">
        <f>IF(J33="","",INDEX(Odds!C:C,MATCH(J33,Odds!G:G,0)))</f>
        <v>6</v>
      </c>
      <c r="D33" s="440">
        <f t="shared" si="2"/>
        <v>2.15</v>
      </c>
      <c r="E33" s="453" t="str">
        <f t="shared" si="3"/>
        <v>√</v>
      </c>
      <c r="F33" s="441"/>
      <c r="G33" s="442"/>
      <c r="H33" s="204"/>
      <c r="I33" s="373"/>
      <c r="J33" s="435" t="s">
        <v>415</v>
      </c>
      <c r="K33" s="188" t="str">
        <f>INDEX(Odds!H:H,MATCH(J33,Odds!G:G,0))</f>
        <v>23/20</v>
      </c>
      <c r="L33" s="443">
        <f>INDEX(Odds!I:I,MATCH(J33,Odds!G:G,0))</f>
        <v>2.15</v>
      </c>
      <c r="M33" s="437">
        <f>INDEX(Odds!J:J,MATCH(J33,Odds!G:G,0))</f>
        <v>1</v>
      </c>
      <c r="N33" s="438">
        <f t="shared" si="4"/>
        <v>2.15</v>
      </c>
      <c r="O33" s="561"/>
      <c r="P33" s="558" t="str">
        <f>IF(Match!B33="","",Match!V33)</f>
        <v xml:space="preserve">MK Dons 5-0 Walsall </v>
      </c>
      <c r="Q33" s="88"/>
      <c r="R33" s="35" t="str">
        <f>IF(Odds!G33="","",Odds!G33)</f>
        <v>MK Dons</v>
      </c>
      <c r="S33" s="36" t="str">
        <f>INDEX(Odds!H:H,MATCH(R33,Odds!G:G,0))</f>
        <v>10/11</v>
      </c>
      <c r="T33" s="40">
        <f t="shared" si="0"/>
        <v>1</v>
      </c>
      <c r="U33" s="20" t="str">
        <f>INDEX(Match!Q:Q,MATCH(P33,Match!V:V,0))</f>
        <v>MK Dons</v>
      </c>
      <c r="V33" s="20">
        <f>INDEX(Match!G:G,MATCH(P33,Match!V:V,0))</f>
        <v>5</v>
      </c>
      <c r="W33" s="20" t="str">
        <f>INDEX(Match!R:R,MATCH(P33,Match!V:V,0))</f>
        <v>Walsall</v>
      </c>
      <c r="X33" s="20">
        <f>INDEX(Match!H:H,MATCH(P33,Match!V:V,0))</f>
        <v>0</v>
      </c>
      <c r="AB33" s="565" t="str">
        <f>IF(O33="","",INDEX(Odds!H:H,MATCH(O33,Odds!G:G,0)))</f>
        <v/>
      </c>
      <c r="AC33" s="586">
        <f>IF(J33="","",INDEX(Odds!K:K,MATCH(J33,Odds!G:G,0)))</f>
        <v>1</v>
      </c>
      <c r="AD33" s="69" t="s">
        <v>308</v>
      </c>
      <c r="AE33" s="72">
        <f>INDEX(Picks!F:F,MATCH(AD33,Picks!A:A,0))</f>
        <v>-5.35</v>
      </c>
      <c r="AF33" s="430">
        <f>INDEX(Weekly!I:I,MATCH(AD33,Weekly!E:E,0))</f>
        <v>1</v>
      </c>
      <c r="AG33" s="69">
        <f>IF(AE33=-10,"",_xlfn.RANK.EQ(AE33,TopScores,0))</f>
        <v>32</v>
      </c>
      <c r="AI33" s="71" t="s">
        <v>279</v>
      </c>
      <c r="AJ33" s="72">
        <f>INDEX(Picks!G:G,MATCH(AI33,Picks!A:A,0))</f>
        <v>20.272000000000006</v>
      </c>
      <c r="AK33" s="430">
        <f>INDEX(Weekly!I:I,MATCH(AI33,Weekly!E:E,0))</f>
        <v>2</v>
      </c>
      <c r="AL33" s="69">
        <f>IF(AJ33="","",_xlfn.RANK.EQ(AJ33,TopMaxScores,0))</f>
        <v>24</v>
      </c>
    </row>
    <row r="34" spans="1:38" ht="13.5" thickBot="1">
      <c r="A34" s="624" t="str">
        <f>A32</f>
        <v>Charlie Griffiths</v>
      </c>
      <c r="B34" s="444" t="str">
        <f t="shared" si="1"/>
        <v>Oxford</v>
      </c>
      <c r="C34" s="506">
        <f>IF(J34="","",INDEX(Odds!C:C,MATCH(J34,Odds!G:G,0)))</f>
        <v>6</v>
      </c>
      <c r="D34" s="445">
        <f t="shared" si="2"/>
        <v>1.95</v>
      </c>
      <c r="E34" s="453" t="str">
        <f t="shared" si="3"/>
        <v>x</v>
      </c>
      <c r="F34" s="441"/>
      <c r="G34" s="442"/>
      <c r="H34" s="204"/>
      <c r="I34" s="373"/>
      <c r="J34" s="446" t="s">
        <v>632</v>
      </c>
      <c r="K34" s="189" t="str">
        <f>INDEX(Odds!H:H,MATCH(J34,Odds!G:G,0))</f>
        <v>19/20</v>
      </c>
      <c r="L34" s="447">
        <f>INDEX(Odds!I:I,MATCH(J34,Odds!G:G,0))</f>
        <v>1.95</v>
      </c>
      <c r="M34" s="437">
        <f>INDEX(Odds!J:J,MATCH(J34,Odds!G:G,0))</f>
        <v>0</v>
      </c>
      <c r="N34" s="448">
        <f t="shared" si="4"/>
        <v>0</v>
      </c>
      <c r="O34" s="562"/>
      <c r="P34" s="558" t="str">
        <f>IF(Match!B34="","",Match!V34)</f>
        <v xml:space="preserve">Salford 1-2 Sutton </v>
      </c>
      <c r="Q34" s="88"/>
      <c r="R34" s="35" t="str">
        <f>IF(Odds!G34="","",Odds!G34)</f>
        <v>Salford</v>
      </c>
      <c r="S34" s="36" t="str">
        <f>INDEX(Odds!H:H,MATCH(R34,Odds!G:G,0))</f>
        <v>4/5</v>
      </c>
      <c r="T34" s="40">
        <f t="shared" si="0"/>
        <v>0</v>
      </c>
      <c r="U34" s="20" t="str">
        <f>INDEX(Match!Q:Q,MATCH(P34,Match!V:V,0))</f>
        <v>Salford</v>
      </c>
      <c r="V34" s="20">
        <f>INDEX(Match!G:G,MATCH(P34,Match!V:V,0))</f>
        <v>1</v>
      </c>
      <c r="W34" s="20" t="str">
        <f>INDEX(Match!R:R,MATCH(P34,Match!V:V,0))</f>
        <v>Sutton</v>
      </c>
      <c r="X34" s="20">
        <f>INDEX(Match!H:H,MATCH(P34,Match!V:V,0))</f>
        <v>2</v>
      </c>
      <c r="AB34" s="566" t="str">
        <f>IF(O34="","",INDEX(Odds!H:H,MATCH(O34,Odds!G:G,0)))</f>
        <v/>
      </c>
      <c r="AC34" s="586">
        <f>IF(J34="","",INDEX(Odds!K:K,MATCH(J34,Odds!G:G,0)))</f>
        <v>1</v>
      </c>
      <c r="AD34" s="69" t="s">
        <v>301</v>
      </c>
      <c r="AE34" s="72">
        <f>INDEX(Picks!F:F,MATCH(AD34,Picks!A:A,0))</f>
        <v>-5.4666666666666668</v>
      </c>
      <c r="AF34" s="430">
        <f>INDEX(Weekly!I:I,MATCH(AD34,Weekly!E:E,0))</f>
        <v>1</v>
      </c>
      <c r="AG34" s="69">
        <f>IF(AE34=-10,"",_xlfn.RANK.EQ(AE34,TopScores,0))</f>
        <v>33</v>
      </c>
      <c r="AI34" s="69" t="s">
        <v>435</v>
      </c>
      <c r="AJ34" s="72">
        <f>INDEX(Picks!G:G,MATCH(AI34,Picks!A:A,0))</f>
        <v>20.106666666666673</v>
      </c>
      <c r="AK34" s="430">
        <f>INDEX(Weekly!I:I,MATCH(AI34,Weekly!E:E,0))</f>
        <v>1</v>
      </c>
      <c r="AL34" s="69">
        <f>IF(AJ34="","",_xlfn.RANK.EQ(AJ34,TopMaxScores,0))</f>
        <v>25</v>
      </c>
    </row>
    <row r="35" spans="1:38" ht="13.9" thickTop="1" thickBot="1">
      <c r="A35" s="433" t="str">
        <f>Results!B35</f>
        <v>Chris Bow</v>
      </c>
      <c r="B35" s="449" t="str">
        <f t="shared" si="1"/>
        <v>Hull</v>
      </c>
      <c r="C35" s="505">
        <f>IF(J35="","",INDEX(Odds!C:C,MATCH(J35,Odds!G:G,0)))</f>
        <v>6</v>
      </c>
      <c r="D35" s="434">
        <f t="shared" si="2"/>
        <v>1.9090909090909092</v>
      </c>
      <c r="E35" s="452" t="str">
        <f t="shared" si="3"/>
        <v>x</v>
      </c>
      <c r="F35" s="375">
        <f>IF(J35="",-10,INDEX(Results!T:T,MATCH(A35,Results!V:V,0)))</f>
        <v>-5</v>
      </c>
      <c r="G35" s="186">
        <f>IF(J35="","",INDEX(Results!AI:AI,MATCH(A35,Results!V:V,0)))</f>
        <v>17.745454545454546</v>
      </c>
      <c r="H35" s="204">
        <f>IF(G35="",0,1)</f>
        <v>1</v>
      </c>
      <c r="I35" s="372">
        <f>INDEX(Picks!AG:AG,MATCH(A35,Picks!AD:AD,0))</f>
        <v>27</v>
      </c>
      <c r="J35" s="435" t="s">
        <v>605</v>
      </c>
      <c r="K35" s="187" t="str">
        <f>INDEX(Odds!H:H,MATCH(J35,Odds!G:G,0))</f>
        <v>10/11</v>
      </c>
      <c r="L35" s="436">
        <f>INDEX(Odds!I:I,MATCH(J35,Odds!G:G,0))</f>
        <v>1.9090909090909092</v>
      </c>
      <c r="M35" s="450">
        <f>INDEX(Odds!J:J,MATCH(J35,Odds!G:G,0))</f>
        <v>0</v>
      </c>
      <c r="N35" s="438">
        <f t="shared" si="4"/>
        <v>0</v>
      </c>
      <c r="O35" s="561"/>
      <c r="P35" s="558" t="str">
        <f>IF(Match!B35="","",Match!V35)</f>
        <v xml:space="preserve">Swindon 2-1 Notts Co </v>
      </c>
      <c r="Q35" s="88"/>
      <c r="R35" s="35" t="str">
        <f>IF(Odds!G35="","",Odds!G35)</f>
        <v>Swindon</v>
      </c>
      <c r="S35" s="36" t="str">
        <f>INDEX(Odds!H:H,MATCH(R35,Odds!G:G,0))</f>
        <v>5/4</v>
      </c>
      <c r="T35" s="40">
        <f t="shared" si="0"/>
        <v>1</v>
      </c>
      <c r="U35" s="20" t="str">
        <f>INDEX(Match!Q:Q,MATCH(P35,Match!V:V,0))</f>
        <v>Swindon</v>
      </c>
      <c r="V35" s="20">
        <f>INDEX(Match!G:G,MATCH(P35,Match!V:V,0))</f>
        <v>2</v>
      </c>
      <c r="W35" s="20" t="str">
        <f>INDEX(Match!R:R,MATCH(P35,Match!V:V,0))</f>
        <v>Notts Co</v>
      </c>
      <c r="X35" s="20">
        <f>INDEX(Match!H:H,MATCH(P35,Match!V:V,0))</f>
        <v>1</v>
      </c>
      <c r="AB35" s="565" t="str">
        <f>IF(O35="","",INDEX(Odds!H:H,MATCH(O35,Odds!G:G,0)))</f>
        <v/>
      </c>
      <c r="AC35" s="586">
        <f>IF(J35="","",INDEX(Odds!K:K,MATCH(J35,Odds!G:G,0)))</f>
        <v>1</v>
      </c>
      <c r="AD35" s="69" t="s">
        <v>282</v>
      </c>
      <c r="AE35" s="72">
        <f>INDEX(Picks!F:F,MATCH(AD35,Picks!A:A,0))</f>
        <v>-5.5</v>
      </c>
      <c r="AF35" s="430">
        <f>INDEX(Weekly!I:I,MATCH(AD35,Weekly!E:E,0))</f>
        <v>1</v>
      </c>
      <c r="AG35" s="69">
        <f>IF(AE35=-10,"",_xlfn.RANK.EQ(AE35,TopScores,0))</f>
        <v>34</v>
      </c>
      <c r="AI35" s="71" t="s">
        <v>308</v>
      </c>
      <c r="AJ35" s="72">
        <f>INDEX(Picks!G:G,MATCH(AI35,Picks!A:A,0))</f>
        <v>18.045714285714283</v>
      </c>
      <c r="AK35" s="430">
        <f>INDEX(Weekly!I:I,MATCH(AI35,Weekly!E:E,0))</f>
        <v>1</v>
      </c>
      <c r="AL35" s="69">
        <f>IF(AJ35="","",_xlfn.RANK.EQ(AJ35,TopMaxScores,0))</f>
        <v>26</v>
      </c>
    </row>
    <row r="36" spans="1:38">
      <c r="A36" s="623" t="str">
        <f>A35</f>
        <v>Chris Bow</v>
      </c>
      <c r="B36" s="439" t="str">
        <f t="shared" si="1"/>
        <v>QPR</v>
      </c>
      <c r="C36" s="505">
        <f>IF(J36="","",INDEX(Odds!C:C,MATCH(J36,Odds!G:G,0)))</f>
        <v>6</v>
      </c>
      <c r="D36" s="440">
        <f t="shared" si="2"/>
        <v>2</v>
      </c>
      <c r="E36" s="453" t="str">
        <f t="shared" si="3"/>
        <v>√</v>
      </c>
      <c r="F36" s="441"/>
      <c r="G36" s="442"/>
      <c r="H36" s="204"/>
      <c r="I36" s="373"/>
      <c r="J36" s="435" t="s">
        <v>571</v>
      </c>
      <c r="K36" s="188" t="str">
        <f>INDEX(Odds!H:H,MATCH(J36,Odds!G:G,0))</f>
        <v>1/1</v>
      </c>
      <c r="L36" s="443">
        <f>INDEX(Odds!I:I,MATCH(J36,Odds!G:G,0))</f>
        <v>2</v>
      </c>
      <c r="M36" s="437">
        <f>INDEX(Odds!J:J,MATCH(J36,Odds!G:G,0))</f>
        <v>1</v>
      </c>
      <c r="N36" s="438">
        <f t="shared" si="4"/>
        <v>2</v>
      </c>
      <c r="O36" s="561"/>
      <c r="P36" s="558" t="str">
        <f>IF(Match!B36="","",Match!V36)</f>
        <v xml:space="preserve">Wimbledon 1-1 Harrogate </v>
      </c>
      <c r="Q36" s="88"/>
      <c r="R36" s="35" t="str">
        <f>IF(Odds!G36="","",Odds!G36)</f>
        <v>Wimbledon</v>
      </c>
      <c r="S36" s="36" t="str">
        <f>INDEX(Odds!H:H,MATCH(R36,Odds!G:G,0))</f>
        <v>8/15</v>
      </c>
      <c r="T36" s="40">
        <f t="shared" si="0"/>
        <v>0</v>
      </c>
      <c r="U36" s="20" t="str">
        <f>INDEX(Match!Q:Q,MATCH(P36,Match!V:V,0))</f>
        <v>Wimbledon</v>
      </c>
      <c r="V36" s="20">
        <f>INDEX(Match!G:G,MATCH(P36,Match!V:V,0))</f>
        <v>1</v>
      </c>
      <c r="W36" s="20" t="str">
        <f>INDEX(Match!R:R,MATCH(P36,Match!V:V,0))</f>
        <v>Harrogate</v>
      </c>
      <c r="X36" s="20">
        <f>INDEX(Match!H:H,MATCH(P36,Match!V:V,0))</f>
        <v>1</v>
      </c>
      <c r="AB36" s="565" t="str">
        <f>IF(O36="","",INDEX(Odds!H:H,MATCH(O36,Odds!G:G,0)))</f>
        <v/>
      </c>
      <c r="AC36" s="586">
        <f>IF(J36="","",INDEX(Odds!K:K,MATCH(J36,Odds!G:G,0)))</f>
        <v>1</v>
      </c>
      <c r="AD36" s="71" t="s">
        <v>302</v>
      </c>
      <c r="AE36" s="72">
        <f>INDEX(Picks!F:F,MATCH(AD36,Picks!A:A,0))</f>
        <v>-7</v>
      </c>
      <c r="AF36" s="430">
        <f>INDEX(Weekly!I:I,MATCH(AD36,Weekly!E:E,0))</f>
        <v>0</v>
      </c>
      <c r="AG36" s="69">
        <f>IF(AE36=-10,"",_xlfn.RANK.EQ(AE36,TopScores,0))</f>
        <v>35</v>
      </c>
      <c r="AI36" s="69" t="s">
        <v>305</v>
      </c>
      <c r="AJ36" s="72">
        <f>INDEX(Picks!G:G,MATCH(AI36,Picks!A:A,0))</f>
        <v>17.745454545454546</v>
      </c>
      <c r="AK36" s="430">
        <f>INDEX(Weekly!I:I,MATCH(AI36,Weekly!E:E,0))</f>
        <v>1</v>
      </c>
      <c r="AL36" s="69">
        <f>IF(AJ36="","",_xlfn.RANK.EQ(AJ36,TopMaxScores,0))</f>
        <v>27</v>
      </c>
    </row>
    <row r="37" spans="1:38" ht="13.5" thickBot="1">
      <c r="A37" s="624" t="str">
        <f>A35</f>
        <v>Chris Bow</v>
      </c>
      <c r="B37" s="444" t="str">
        <f t="shared" si="1"/>
        <v>Wigan</v>
      </c>
      <c r="C37" s="506">
        <f>IF(J37="","",INDEX(Odds!C:C,MATCH(J37,Odds!G:G,0)))</f>
        <v>6</v>
      </c>
      <c r="D37" s="445">
        <f t="shared" si="2"/>
        <v>1.95</v>
      </c>
      <c r="E37" s="453" t="str">
        <f t="shared" si="3"/>
        <v>x</v>
      </c>
      <c r="F37" s="441"/>
      <c r="G37" s="442"/>
      <c r="H37" s="204"/>
      <c r="I37" s="373"/>
      <c r="J37" s="446" t="s">
        <v>348</v>
      </c>
      <c r="K37" s="189" t="str">
        <f>INDEX(Odds!H:H,MATCH(J37,Odds!G:G,0))</f>
        <v>19/20</v>
      </c>
      <c r="L37" s="447">
        <f>INDEX(Odds!I:I,MATCH(J37,Odds!G:G,0))</f>
        <v>1.95</v>
      </c>
      <c r="M37" s="437">
        <f>INDEX(Odds!J:J,MATCH(J37,Odds!G:G,0))</f>
        <v>0</v>
      </c>
      <c r="N37" s="448">
        <f t="shared" si="4"/>
        <v>0</v>
      </c>
      <c r="O37" s="562"/>
      <c r="P37" s="558" t="str">
        <f>IF(Match!B37="","",Match!V37)</f>
        <v xml:space="preserve">Wrexham 2-0 Mansfield </v>
      </c>
      <c r="Q37" s="88"/>
      <c r="R37" s="35" t="str">
        <f>IF(Odds!G37="","",Odds!G37)</f>
        <v>Wrexham</v>
      </c>
      <c r="S37" s="36" t="str">
        <f>INDEX(Odds!H:H,MATCH(R37,Odds!G:G,0))</f>
        <v>13/10</v>
      </c>
      <c r="T37" s="40">
        <f t="shared" si="0"/>
        <v>1</v>
      </c>
      <c r="U37" s="20" t="str">
        <f>INDEX(Match!Q:Q,MATCH(P37,Match!V:V,0))</f>
        <v>Wrexham</v>
      </c>
      <c r="V37" s="20">
        <f>INDEX(Match!G:G,MATCH(P37,Match!V:V,0))</f>
        <v>2</v>
      </c>
      <c r="W37" s="20" t="str">
        <f>INDEX(Match!R:R,MATCH(P37,Match!V:V,0))</f>
        <v>Mansfield</v>
      </c>
      <c r="X37" s="20">
        <f>INDEX(Match!H:H,MATCH(P37,Match!V:V,0))</f>
        <v>0</v>
      </c>
      <c r="AB37" s="566" t="str">
        <f>IF(O37="","",INDEX(Odds!H:H,MATCH(O37,Odds!G:G,0)))</f>
        <v/>
      </c>
      <c r="AC37" s="586">
        <f>IF(J37="","",INDEX(Odds!K:K,MATCH(J37,Odds!G:G,0)))</f>
        <v>1</v>
      </c>
      <c r="AD37" s="69" t="s">
        <v>366</v>
      </c>
      <c r="AE37" s="72">
        <f>INDEX(Picks!F:F,MATCH(AD37,Picks!A:A,0))</f>
        <v>-7</v>
      </c>
      <c r="AF37" s="430">
        <f>INDEX(Weekly!I:I,MATCH(AD37,Weekly!E:E,0))</f>
        <v>0</v>
      </c>
      <c r="AG37" s="69">
        <f>IF(AE37=-10,"",_xlfn.RANK.EQ(AE37,TopScores,0))</f>
        <v>35</v>
      </c>
      <c r="AI37" s="69" t="s">
        <v>298</v>
      </c>
      <c r="AJ37" s="72">
        <f>INDEX(Picks!G:G,MATCH(AI37,Picks!A:A,0))</f>
        <v>17.2225</v>
      </c>
      <c r="AK37" s="430">
        <f>INDEX(Weekly!I:I,MATCH(AI37,Weekly!E:E,0))</f>
        <v>2</v>
      </c>
      <c r="AL37" s="69">
        <f>IF(AJ37="","",_xlfn.RANK.EQ(AJ37,TopMaxScores,0))</f>
        <v>28</v>
      </c>
    </row>
    <row r="38" spans="1:38" ht="13.9" thickTop="1" thickBot="1">
      <c r="A38" s="433" t="str">
        <f>Results!B38</f>
        <v>Chris Griffin</v>
      </c>
      <c r="B38" s="449" t="str">
        <f t="shared" si="1"/>
        <v>Coventry</v>
      </c>
      <c r="C38" s="505">
        <f>IF(J38="","",INDEX(Odds!C:C,MATCH(J38,Odds!G:G,0)))</f>
        <v>6</v>
      </c>
      <c r="D38" s="434">
        <f t="shared" si="2"/>
        <v>2.375</v>
      </c>
      <c r="E38" s="452" t="str">
        <f t="shared" si="3"/>
        <v>√</v>
      </c>
      <c r="F38" s="375">
        <f>IF(J38="",-10,INDEX(Results!T:T,MATCH(A38,Results!V:V,0)))</f>
        <v>0.54999999999999982</v>
      </c>
      <c r="G38" s="186">
        <f>IF(J38="","",INDEX(Results!AI:AI,MATCH(A38,Results!V:V,0)))</f>
        <v>17.2225</v>
      </c>
      <c r="H38" s="204">
        <f>IF(G38="",0,1)</f>
        <v>1</v>
      </c>
      <c r="I38" s="372">
        <f>INDEX(Picks!AG:AG,MATCH(A38,Picks!AD:AD,0))</f>
        <v>12</v>
      </c>
      <c r="J38" s="435" t="s">
        <v>604</v>
      </c>
      <c r="K38" s="187" t="str">
        <f>INDEX(Odds!H:H,MATCH(J38,Odds!G:G,0))</f>
        <v>11/8</v>
      </c>
      <c r="L38" s="436">
        <f>INDEX(Odds!I:I,MATCH(J38,Odds!G:G,0))</f>
        <v>2.375</v>
      </c>
      <c r="M38" s="450">
        <f>INDEX(Odds!J:J,MATCH(J38,Odds!G:G,0))</f>
        <v>1</v>
      </c>
      <c r="N38" s="438">
        <f t="shared" si="4"/>
        <v>2.375</v>
      </c>
      <c r="O38" s="561"/>
      <c r="P38" s="558" t="str">
        <f>IF(Match!B38="","",Match!V38)</f>
        <v xml:space="preserve">Bournemouth 2-1 Everton </v>
      </c>
      <c r="Q38" s="88"/>
      <c r="R38" s="35" t="str">
        <f>IF(Odds!G38="","",Odds!G38)</f>
        <v>Bournemouth</v>
      </c>
      <c r="S38" s="36" t="str">
        <f>INDEX(Odds!H:H,MATCH(R38,Odds!G:G,0))</f>
        <v>11/10</v>
      </c>
      <c r="T38" s="40">
        <f t="shared" si="0"/>
        <v>1</v>
      </c>
      <c r="U38" s="20" t="str">
        <f>INDEX(Match!Q:Q,MATCH(P38,Match!V:V,0))</f>
        <v>Bournemouth</v>
      </c>
      <c r="V38" s="20">
        <f>INDEX(Match!G:G,MATCH(P38,Match!V:V,0))</f>
        <v>2</v>
      </c>
      <c r="W38" s="20" t="str">
        <f>INDEX(Match!R:R,MATCH(P38,Match!V:V,0))</f>
        <v>Everton</v>
      </c>
      <c r="X38" s="20">
        <f>INDEX(Match!H:H,MATCH(P38,Match!V:V,0))</f>
        <v>1</v>
      </c>
      <c r="AB38" s="565" t="str">
        <f>IF(O38="","",INDEX(Odds!H:H,MATCH(O38,Odds!G:G,0)))</f>
        <v/>
      </c>
      <c r="AC38" s="586">
        <f>IF(J38="","",INDEX(Odds!K:K,MATCH(J38,Odds!G:G,0)))</f>
        <v>1</v>
      </c>
      <c r="AD38" s="69" t="s">
        <v>296</v>
      </c>
      <c r="AE38" s="72">
        <f>INDEX(Picks!F:F,MATCH(AD38,Picks!A:A,0))</f>
        <v>-7</v>
      </c>
      <c r="AF38" s="430">
        <f>INDEX(Weekly!I:I,MATCH(AD38,Weekly!E:E,0))</f>
        <v>0</v>
      </c>
      <c r="AG38" s="69">
        <f>IF(AE38=-10,"",_xlfn.RANK.EQ(AE38,TopScores,0))</f>
        <v>35</v>
      </c>
      <c r="AI38" s="71" t="s">
        <v>509</v>
      </c>
      <c r="AJ38" s="72">
        <f>INDEX(Picks!G:G,MATCH(AI38,Picks!A:A,0))</f>
        <v>16.715384615384615</v>
      </c>
      <c r="AK38" s="430">
        <f>INDEX(Weekly!I:I,MATCH(AI38,Weekly!E:E,0))</f>
        <v>1</v>
      </c>
      <c r="AL38" s="69">
        <f>IF(AJ38="","",_xlfn.RANK.EQ(AJ38,TopMaxScores,0))</f>
        <v>29</v>
      </c>
    </row>
    <row r="39" spans="1:38">
      <c r="A39" s="623" t="str">
        <f>A38</f>
        <v>Chris Griffin</v>
      </c>
      <c r="B39" s="439" t="str">
        <f t="shared" si="1"/>
        <v>Preston</v>
      </c>
      <c r="C39" s="505">
        <f>IF(J39="","",INDEX(Odds!C:C,MATCH(J39,Odds!G:G,0)))</f>
        <v>6</v>
      </c>
      <c r="D39" s="440">
        <f t="shared" si="2"/>
        <v>1.5333333333333332</v>
      </c>
      <c r="E39" s="453" t="str">
        <f t="shared" si="3"/>
        <v>√</v>
      </c>
      <c r="F39" s="441"/>
      <c r="G39" s="442"/>
      <c r="H39" s="204"/>
      <c r="I39" s="373"/>
      <c r="J39" s="435" t="s">
        <v>517</v>
      </c>
      <c r="K39" s="188" t="str">
        <f>INDEX(Odds!H:H,MATCH(J39,Odds!G:G,0))</f>
        <v>8/15</v>
      </c>
      <c r="L39" s="443">
        <f>INDEX(Odds!I:I,MATCH(J39,Odds!G:G,0))</f>
        <v>1.5333333333333332</v>
      </c>
      <c r="M39" s="437">
        <f>INDEX(Odds!J:J,MATCH(J39,Odds!G:G,0))</f>
        <v>1</v>
      </c>
      <c r="N39" s="438">
        <f t="shared" si="4"/>
        <v>1.5333333333333332</v>
      </c>
      <c r="O39" s="561"/>
      <c r="P39" s="558" t="str">
        <f>IF(Match!B39="","",Match!V39)</f>
        <v xml:space="preserve">Brentford 1-1 Man U </v>
      </c>
      <c r="Q39" s="88"/>
      <c r="R39" s="35" t="str">
        <f>IF(Odds!G39="","",Odds!G39)</f>
        <v>Brentford</v>
      </c>
      <c r="S39" s="36" t="str">
        <f>INDEX(Odds!H:H,MATCH(R39,Odds!G:G,0))</f>
        <v>19/10</v>
      </c>
      <c r="T39" s="40">
        <f t="shared" si="0"/>
        <v>0</v>
      </c>
      <c r="U39" s="20" t="str">
        <f>INDEX(Match!Q:Q,MATCH(P39,Match!V:V,0))</f>
        <v>Brentford</v>
      </c>
      <c r="V39" s="20">
        <f>INDEX(Match!G:G,MATCH(P39,Match!V:V,0))</f>
        <v>1</v>
      </c>
      <c r="W39" s="20" t="str">
        <f>INDEX(Match!R:R,MATCH(P39,Match!V:V,0))</f>
        <v>Man U</v>
      </c>
      <c r="X39" s="20">
        <f>INDEX(Match!H:H,MATCH(P39,Match!V:V,0))</f>
        <v>1</v>
      </c>
      <c r="AB39" s="565" t="str">
        <f>IF(O39="","",INDEX(Odds!H:H,MATCH(O39,Odds!G:G,0)))</f>
        <v/>
      </c>
      <c r="AC39" s="586">
        <f>IF(J39="","",INDEX(Odds!K:K,MATCH(J39,Odds!G:G,0)))</f>
        <v>1</v>
      </c>
      <c r="AD39" s="592" t="s">
        <v>271</v>
      </c>
      <c r="AE39" s="72">
        <f>INDEX(Picks!F:F,MATCH(AD39,Picks!A:A,0))</f>
        <v>-7</v>
      </c>
      <c r="AF39" s="430">
        <f>INDEX(Weekly!I:I,MATCH(AD39,Weekly!E:E,0))</f>
        <v>0</v>
      </c>
      <c r="AG39" s="69">
        <f>IF(AE39=-10,"",_xlfn.RANK.EQ(AE39,TopScores,0))</f>
        <v>35</v>
      </c>
      <c r="AI39" s="69" t="s">
        <v>291</v>
      </c>
      <c r="AJ39" s="72">
        <f>INDEX(Picks!G:G,MATCH(AI39,Picks!A:A,0))</f>
        <v>16.458181818181817</v>
      </c>
      <c r="AK39" s="430">
        <f>INDEX(Weekly!I:I,MATCH(AI39,Weekly!E:E,0))</f>
        <v>1</v>
      </c>
      <c r="AL39" s="69">
        <f>IF(AJ39="","",_xlfn.RANK.EQ(AJ39,TopMaxScores,0))</f>
        <v>30</v>
      </c>
    </row>
    <row r="40" spans="1:38" ht="13.5" thickBot="1">
      <c r="A40" s="624" t="str">
        <f>A38</f>
        <v>Chris Griffin</v>
      </c>
      <c r="B40" s="444" t="str">
        <f t="shared" si="1"/>
        <v>Wigan</v>
      </c>
      <c r="C40" s="506">
        <f>IF(J40="","",INDEX(Odds!C:C,MATCH(J40,Odds!G:G,0)))</f>
        <v>6</v>
      </c>
      <c r="D40" s="445">
        <f t="shared" si="2"/>
        <v>1.95</v>
      </c>
      <c r="E40" s="453" t="str">
        <f t="shared" si="3"/>
        <v>x</v>
      </c>
      <c r="F40" s="441"/>
      <c r="G40" s="442"/>
      <c r="H40" s="204"/>
      <c r="I40" s="373"/>
      <c r="J40" s="446" t="s">
        <v>348</v>
      </c>
      <c r="K40" s="189" t="str">
        <f>INDEX(Odds!H:H,MATCH(J40,Odds!G:G,0))</f>
        <v>19/20</v>
      </c>
      <c r="L40" s="447">
        <f>INDEX(Odds!I:I,MATCH(J40,Odds!G:G,0))</f>
        <v>1.95</v>
      </c>
      <c r="M40" s="437">
        <f>INDEX(Odds!J:J,MATCH(J40,Odds!G:G,0))</f>
        <v>0</v>
      </c>
      <c r="N40" s="448">
        <f t="shared" si="4"/>
        <v>0</v>
      </c>
      <c r="O40" s="562"/>
      <c r="P40" s="558" t="str">
        <f>IF(Match!B40="","",Match!V40)</f>
        <v xml:space="preserve">Chelsea 2-2 Burnley </v>
      </c>
      <c r="Q40" s="88"/>
      <c r="R40" s="35" t="str">
        <f>IF(Odds!G40="","",Odds!G40)</f>
        <v>Chelsea</v>
      </c>
      <c r="S40" s="36" t="str">
        <f>INDEX(Odds!H:H,MATCH(R40,Odds!G:G,0))</f>
        <v>2/7</v>
      </c>
      <c r="T40" s="40">
        <f t="shared" si="0"/>
        <v>0</v>
      </c>
      <c r="U40" s="20" t="str">
        <f>INDEX(Match!Q:Q,MATCH(P40,Match!V:V,0))</f>
        <v>Chelsea</v>
      </c>
      <c r="V40" s="20">
        <f>INDEX(Match!G:G,MATCH(P40,Match!V:V,0))</f>
        <v>2</v>
      </c>
      <c r="W40" s="20" t="str">
        <f>INDEX(Match!R:R,MATCH(P40,Match!V:V,0))</f>
        <v>Burnley</v>
      </c>
      <c r="X40" s="20">
        <f>INDEX(Match!H:H,MATCH(P40,Match!V:V,0))</f>
        <v>2</v>
      </c>
      <c r="AB40" s="566" t="str">
        <f>IF(O40="","",INDEX(Odds!H:H,MATCH(O40,Odds!G:G,0)))</f>
        <v/>
      </c>
      <c r="AC40" s="586">
        <f>IF(J40="","",INDEX(Odds!K:K,MATCH(J40,Odds!G:G,0)))</f>
        <v>1</v>
      </c>
      <c r="AD40" s="69" t="s">
        <v>527</v>
      </c>
      <c r="AE40" s="72">
        <f>INDEX(Picks!F:F,MATCH(AD40,Picks!A:A,0))</f>
        <v>-7</v>
      </c>
      <c r="AF40" s="430">
        <f>INDEX(Weekly!I:I,MATCH(AD40,Weekly!E:E,0))</f>
        <v>0</v>
      </c>
      <c r="AG40" s="69">
        <f>IF(AE40=-10,"",_xlfn.RANK.EQ(AE40,TopScores,0))</f>
        <v>35</v>
      </c>
      <c r="AI40" s="71" t="s">
        <v>293</v>
      </c>
      <c r="AJ40" s="72">
        <f>INDEX(Picks!G:G,MATCH(AI40,Picks!A:A,0))</f>
        <v>16.436363636363637</v>
      </c>
      <c r="AK40" s="430">
        <f>INDEX(Weekly!I:I,MATCH(AI40,Weekly!E:E,0))</f>
        <v>1</v>
      </c>
      <c r="AL40" s="69">
        <f>IF(AJ40="","",_xlfn.RANK.EQ(AJ40,TopMaxScores,0))</f>
        <v>31</v>
      </c>
    </row>
    <row r="41" spans="1:38" ht="13.9" thickTop="1" thickBot="1">
      <c r="A41" s="433" t="str">
        <f>Results!B41</f>
        <v>Chris Luck</v>
      </c>
      <c r="B41" s="449" t="str">
        <f t="shared" si="1"/>
        <v>Bournemouth</v>
      </c>
      <c r="C41" s="505">
        <f>IF(J41="","",INDEX(Odds!C:C,MATCH(J41,Odds!G:G,0)))</f>
        <v>7</v>
      </c>
      <c r="D41" s="434">
        <f t="shared" si="2"/>
        <v>2.1</v>
      </c>
      <c r="E41" s="452" t="str">
        <f t="shared" si="3"/>
        <v>√</v>
      </c>
      <c r="F41" s="375">
        <f>IF(J41="",-10,INDEX(Results!T:T,MATCH(A41,Results!V:V,0)))</f>
        <v>-4.9000000000000004</v>
      </c>
      <c r="G41" s="186">
        <f>IF(J41="","",INDEX(Results!AI:AI,MATCH(A41,Results!V:V,0)))</f>
        <v>23.744000000000007</v>
      </c>
      <c r="H41" s="204">
        <f>IF(G41="",0,1)</f>
        <v>1</v>
      </c>
      <c r="I41" s="372">
        <f>INDEX(Picks!AG:AG,MATCH(A41,Picks!AD:AD,0))</f>
        <v>25</v>
      </c>
      <c r="J41" s="435" t="s">
        <v>637</v>
      </c>
      <c r="K41" s="187" t="str">
        <f>INDEX(Odds!H:H,MATCH(J41,Odds!G:G,0))</f>
        <v>11/10</v>
      </c>
      <c r="L41" s="436">
        <f>INDEX(Odds!I:I,MATCH(J41,Odds!G:G,0))</f>
        <v>2.1</v>
      </c>
      <c r="M41" s="450">
        <f>INDEX(Odds!J:J,MATCH(J41,Odds!G:G,0))</f>
        <v>1</v>
      </c>
      <c r="N41" s="438">
        <f t="shared" si="4"/>
        <v>2.1</v>
      </c>
      <c r="O41" s="561"/>
      <c r="P41" s="558" t="str">
        <f>IF(Match!B41="","",Match!V41)</f>
        <v xml:space="preserve">Forest 1-1 Palace </v>
      </c>
      <c r="Q41" s="88"/>
      <c r="R41" s="35" t="str">
        <f>IF(Odds!G41="","",Odds!G41)</f>
        <v>Forest</v>
      </c>
      <c r="S41" s="36" t="str">
        <f>INDEX(Odds!H:H,MATCH(R41,Odds!G:G,0))</f>
        <v>6/5</v>
      </c>
      <c r="T41" s="40">
        <f t="shared" si="0"/>
        <v>0</v>
      </c>
      <c r="U41" s="20" t="str">
        <f>INDEX(Match!Q:Q,MATCH(P41,Match!V:V,0))</f>
        <v>Forest</v>
      </c>
      <c r="V41" s="20">
        <f>INDEX(Match!G:G,MATCH(P41,Match!V:V,0))</f>
        <v>1</v>
      </c>
      <c r="W41" s="20" t="str">
        <f>INDEX(Match!R:R,MATCH(P41,Match!V:V,0))</f>
        <v>Palace</v>
      </c>
      <c r="X41" s="20">
        <f>INDEX(Match!H:H,MATCH(P41,Match!V:V,0))</f>
        <v>1</v>
      </c>
      <c r="AB41" s="565" t="str">
        <f>IF(O41="","",INDEX(Odds!H:H,MATCH(O41,Odds!G:G,0)))</f>
        <v/>
      </c>
      <c r="AC41" s="586">
        <f>IF(J41="","",INDEX(Odds!K:K,MATCH(J41,Odds!G:G,0)))</f>
        <v>1</v>
      </c>
      <c r="AD41" s="69" t="s">
        <v>358</v>
      </c>
      <c r="AE41" s="72">
        <f>INDEX(Picks!F:F,MATCH(AD41,Picks!A:A,0))</f>
        <v>-7</v>
      </c>
      <c r="AF41" s="430">
        <f>INDEX(Weekly!I:I,MATCH(AD41,Weekly!E:E,0))</f>
        <v>0</v>
      </c>
      <c r="AG41" s="69">
        <f>IF(AE41=-10,"",_xlfn.RANK.EQ(AE41,TopScores,0))</f>
        <v>35</v>
      </c>
      <c r="AI41" s="69" t="s">
        <v>274</v>
      </c>
      <c r="AJ41" s="72">
        <f>INDEX(Picks!G:G,MATCH(AI41,Picks!A:A,0))</f>
        <v>15.854500000000002</v>
      </c>
      <c r="AK41" s="430">
        <f>INDEX(Weekly!I:I,MATCH(AI41,Weekly!E:E,0))</f>
        <v>2</v>
      </c>
      <c r="AL41" s="69">
        <f>IF(AJ41="","",_xlfn.RANK.EQ(AJ41,TopMaxScores,0))</f>
        <v>32</v>
      </c>
    </row>
    <row r="42" spans="1:38">
      <c r="A42" s="623" t="str">
        <f>A41</f>
        <v>Chris Luck</v>
      </c>
      <c r="B42" s="439" t="str">
        <f t="shared" si="1"/>
        <v>Man U</v>
      </c>
      <c r="C42" s="505">
        <f>IF(J42="","",INDEX(Odds!C:C,MATCH(J42,Odds!G:G,0)))</f>
        <v>7</v>
      </c>
      <c r="D42" s="440">
        <f t="shared" si="2"/>
        <v>2.2000000000000002</v>
      </c>
      <c r="E42" s="453" t="str">
        <f t="shared" si="3"/>
        <v>x</v>
      </c>
      <c r="F42" s="441"/>
      <c r="G42" s="442"/>
      <c r="H42" s="204"/>
      <c r="I42" s="373"/>
      <c r="J42" s="435" t="s">
        <v>640</v>
      </c>
      <c r="K42" s="188" t="str">
        <f>INDEX(Odds!H:H,MATCH(J42,Odds!G:G,0))</f>
        <v>6/5</v>
      </c>
      <c r="L42" s="443">
        <f>INDEX(Odds!I:I,MATCH(J42,Odds!G:G,0))</f>
        <v>2.2000000000000002</v>
      </c>
      <c r="M42" s="437">
        <f>INDEX(Odds!J:J,MATCH(J42,Odds!G:G,0))</f>
        <v>0</v>
      </c>
      <c r="N42" s="438">
        <f t="shared" si="4"/>
        <v>0</v>
      </c>
      <c r="O42" s="561"/>
      <c r="P42" s="558" t="str">
        <f>IF(Match!B42="","",Match!V42)</f>
        <v xml:space="preserve">Newcastle 4-3 West Ham </v>
      </c>
      <c r="Q42" s="88"/>
      <c r="R42" s="35" t="str">
        <f>IF(Odds!G42="","",Odds!G42)</f>
        <v>Newcastle</v>
      </c>
      <c r="S42" s="36" t="str">
        <f>INDEX(Odds!H:H,MATCH(R42,Odds!G:G,0))</f>
        <v>17/20</v>
      </c>
      <c r="T42" s="40">
        <f t="shared" si="0"/>
        <v>1</v>
      </c>
      <c r="U42" s="20" t="str">
        <f>INDEX(Match!Q:Q,MATCH(P42,Match!V:V,0))</f>
        <v>Newcastle</v>
      </c>
      <c r="V42" s="20">
        <f>INDEX(Match!G:G,MATCH(P42,Match!V:V,0))</f>
        <v>4</v>
      </c>
      <c r="W42" s="20" t="str">
        <f>INDEX(Match!R:R,MATCH(P42,Match!V:V,0))</f>
        <v>West Ham</v>
      </c>
      <c r="X42" s="20">
        <f>INDEX(Match!H:H,MATCH(P42,Match!V:V,0))</f>
        <v>3</v>
      </c>
      <c r="AB42" s="565" t="str">
        <f>IF(O42="","",INDEX(Odds!H:H,MATCH(O42,Odds!G:G,0)))</f>
        <v/>
      </c>
      <c r="AC42" s="586">
        <f>IF(J42="","",INDEX(Odds!K:K,MATCH(J42,Odds!G:G,0)))</f>
        <v>1</v>
      </c>
      <c r="AD42" s="69" t="s">
        <v>360</v>
      </c>
      <c r="AE42" s="72">
        <f>INDEX(Picks!F:F,MATCH(AD42,Picks!A:A,0))</f>
        <v>-7</v>
      </c>
      <c r="AF42" s="430">
        <f>INDEX(Weekly!I:I,MATCH(AD42,Weekly!E:E,0))</f>
        <v>0</v>
      </c>
      <c r="AG42" s="69">
        <f>IF(AE42=-10,"",_xlfn.RANK.EQ(AE42,TopScores,0))</f>
        <v>35</v>
      </c>
      <c r="AI42" s="71" t="s">
        <v>303</v>
      </c>
      <c r="AJ42" s="72">
        <f>INDEX(Picks!G:G,MATCH(AI42,Picks!A:A,0))</f>
        <v>12.925333333333334</v>
      </c>
      <c r="AK42" s="430">
        <f>INDEX(Weekly!I:I,MATCH(AI42,Weekly!E:E,0))</f>
        <v>2</v>
      </c>
      <c r="AL42" s="69">
        <f>IF(AJ42="","",_xlfn.RANK.EQ(AJ42,TopMaxScores,0))</f>
        <v>33</v>
      </c>
    </row>
    <row r="43" spans="1:38" ht="13.5" thickBot="1">
      <c r="A43" s="624" t="str">
        <f>A41</f>
        <v>Chris Luck</v>
      </c>
      <c r="B43" s="444" t="str">
        <f t="shared" si="1"/>
        <v>Forest</v>
      </c>
      <c r="C43" s="506">
        <f>IF(J43="","",INDEX(Odds!C:C,MATCH(J43,Odds!G:G,0)))</f>
        <v>7</v>
      </c>
      <c r="D43" s="445">
        <f t="shared" si="2"/>
        <v>2.2000000000000002</v>
      </c>
      <c r="E43" s="453" t="str">
        <f t="shared" si="3"/>
        <v>x</v>
      </c>
      <c r="F43" s="441"/>
      <c r="G43" s="442"/>
      <c r="H43" s="204"/>
      <c r="I43" s="373"/>
      <c r="J43" s="446" t="s">
        <v>643</v>
      </c>
      <c r="K43" s="189" t="str">
        <f>INDEX(Odds!H:H,MATCH(J43,Odds!G:G,0))</f>
        <v>6/5</v>
      </c>
      <c r="L43" s="447">
        <f>INDEX(Odds!I:I,MATCH(J43,Odds!G:G,0))</f>
        <v>2.2000000000000002</v>
      </c>
      <c r="M43" s="437">
        <f>INDEX(Odds!J:J,MATCH(J43,Odds!G:G,0))</f>
        <v>0</v>
      </c>
      <c r="N43" s="448">
        <f t="shared" si="4"/>
        <v>0</v>
      </c>
      <c r="O43" s="562"/>
      <c r="P43" s="558" t="str">
        <f>IF(Match!B43="","",Match!V43)</f>
        <v xml:space="preserve">Sheff U 3-3 Fulham </v>
      </c>
      <c r="Q43" s="88"/>
      <c r="R43" s="35" t="str">
        <f>IF(Odds!G43="","",Odds!G43)</f>
        <v>Sheff U</v>
      </c>
      <c r="S43" s="36" t="str">
        <f>INDEX(Odds!H:H,MATCH(R43,Odds!G:G,0))</f>
        <v>7/2</v>
      </c>
      <c r="T43" s="40">
        <f t="shared" si="0"/>
        <v>0</v>
      </c>
      <c r="U43" s="20" t="str">
        <f>INDEX(Match!Q:Q,MATCH(P43,Match!V:V,0))</f>
        <v>Sheff U</v>
      </c>
      <c r="V43" s="20">
        <f>INDEX(Match!G:G,MATCH(P43,Match!V:V,0))</f>
        <v>3</v>
      </c>
      <c r="W43" s="20" t="str">
        <f>INDEX(Match!R:R,MATCH(P43,Match!V:V,0))</f>
        <v>Fulham</v>
      </c>
      <c r="X43" s="20">
        <f>INDEX(Match!H:H,MATCH(P43,Match!V:V,0))</f>
        <v>3</v>
      </c>
      <c r="AB43" s="566" t="str">
        <f>IF(O43="","",INDEX(Odds!H:H,MATCH(O43,Odds!G:G,0)))</f>
        <v/>
      </c>
      <c r="AC43" s="586">
        <f>IF(J43="","",INDEX(Odds!K:K,MATCH(J43,Odds!G:G,0)))</f>
        <v>1</v>
      </c>
      <c r="AD43" s="69" t="s">
        <v>368</v>
      </c>
      <c r="AE43" s="72">
        <f>INDEX(Picks!F:F,MATCH(AD43,Picks!A:A,0))</f>
        <v>-7</v>
      </c>
      <c r="AF43" s="430">
        <f>INDEX(Weekly!I:I,MATCH(AD43,Weekly!E:E,0))</f>
        <v>0</v>
      </c>
      <c r="AG43" s="69">
        <f>IF(AE43=-10,"",_xlfn.RANK.EQ(AE43,TopScores,0))</f>
        <v>35</v>
      </c>
      <c r="AI43" s="71" t="s">
        <v>365</v>
      </c>
      <c r="AJ43" s="72">
        <f>INDEX(Picks!G:G,MATCH(AI43,Picks!A:A,0))</f>
        <v>12.139999999999997</v>
      </c>
      <c r="AK43" s="430">
        <f>INDEX(Weekly!I:I,MATCH(AI43,Weekly!E:E,0))</f>
        <v>3</v>
      </c>
      <c r="AL43" s="69">
        <f>IF(AJ43="","",_xlfn.RANK.EQ(AJ43,TopMaxScores,0))</f>
        <v>34</v>
      </c>
    </row>
    <row r="44" spans="1:38" ht="13.9" thickTop="1" thickBot="1">
      <c r="A44" s="433" t="str">
        <f>Results!B44</f>
        <v>Chris Townsend</v>
      </c>
      <c r="B44" s="449" t="str">
        <f t="shared" si="1"/>
        <v>Burnley</v>
      </c>
      <c r="C44" s="505">
        <f>IF(J44="","",INDEX(Odds!C:C,MATCH(J44,Odds!G:G,0)))</f>
        <v>7</v>
      </c>
      <c r="D44" s="434">
        <f t="shared" si="2"/>
        <v>9</v>
      </c>
      <c r="E44" s="452" t="str">
        <f t="shared" si="3"/>
        <v>x</v>
      </c>
      <c r="F44" s="375">
        <f>IF(J44="",-10,INDEX(Results!T:T,MATCH(A44,Results!V:V,0)))</f>
        <v>-7</v>
      </c>
      <c r="G44" s="186">
        <f>IF(J44="","",INDEX(Results!AI:AI,MATCH(A44,Results!V:V,0)))</f>
        <v>454</v>
      </c>
      <c r="H44" s="204">
        <f>IF(G44="",0,1)</f>
        <v>1</v>
      </c>
      <c r="I44" s="372">
        <f>INDEX(Picks!AG:AG,MATCH(A44,Picks!AD:AD,0))</f>
        <v>35</v>
      </c>
      <c r="J44" s="435" t="s">
        <v>642</v>
      </c>
      <c r="K44" s="187" t="str">
        <f>INDEX(Odds!H:H,MATCH(J44,Odds!G:G,0))</f>
        <v>8/1</v>
      </c>
      <c r="L44" s="436">
        <f>INDEX(Odds!I:I,MATCH(J44,Odds!G:G,0))</f>
        <v>9</v>
      </c>
      <c r="M44" s="450">
        <f>INDEX(Odds!J:J,MATCH(J44,Odds!G:G,0))</f>
        <v>0</v>
      </c>
      <c r="N44" s="438">
        <f t="shared" si="4"/>
        <v>0</v>
      </c>
      <c r="O44" s="561"/>
      <c r="P44" s="558" t="str">
        <f>IF(Match!B44="","",Match!V44)</f>
        <v xml:space="preserve">Spurs 2-1 Luton </v>
      </c>
      <c r="Q44" s="88"/>
      <c r="R44" s="35" t="str">
        <f>IF(Odds!G44="","",Odds!G44)</f>
        <v>Spurs</v>
      </c>
      <c r="S44" s="36" t="str">
        <f>INDEX(Odds!H:H,MATCH(R44,Odds!G:G,0))</f>
        <v>2/9</v>
      </c>
      <c r="T44" s="40">
        <f t="shared" si="0"/>
        <v>1</v>
      </c>
      <c r="U44" s="20" t="str">
        <f>INDEX(Match!Q:Q,MATCH(P44,Match!V:V,0))</f>
        <v>Spurs</v>
      </c>
      <c r="V44" s="20">
        <f>INDEX(Match!G:G,MATCH(P44,Match!V:V,0))</f>
        <v>2</v>
      </c>
      <c r="W44" s="20" t="str">
        <f>INDEX(Match!R:R,MATCH(P44,Match!V:V,0))</f>
        <v>Luton</v>
      </c>
      <c r="X44" s="20">
        <f>INDEX(Match!H:H,MATCH(P44,Match!V:V,0))</f>
        <v>1</v>
      </c>
      <c r="AB44" s="565" t="str">
        <f>IF(O44="","",INDEX(Odds!H:H,MATCH(O44,Odds!G:G,0)))</f>
        <v/>
      </c>
      <c r="AC44" s="586">
        <f>IF(J44="","",INDEX(Odds!K:K,MATCH(J44,Odds!G:G,0)))</f>
        <v>1</v>
      </c>
      <c r="AD44" s="69" t="s">
        <v>281</v>
      </c>
      <c r="AE44" s="72">
        <f>INDEX(Picks!F:F,MATCH(AD44,Picks!A:A,0))</f>
        <v>-10</v>
      </c>
      <c r="AF44" s="430">
        <f>INDEX(Weekly!I:I,MATCH(AD44,Weekly!E:E,0))</f>
        <v>0</v>
      </c>
      <c r="AG44" s="69" t="str">
        <f>IF(AE44=-10,"",_xlfn.RANK.EQ(AE44,TopScores,0))</f>
        <v/>
      </c>
      <c r="AI44" s="71" t="s">
        <v>366</v>
      </c>
      <c r="AJ44" s="72">
        <f>INDEX(Picks!G:G,MATCH(AI44,Picks!A:A,0))</f>
        <v>11.772307692307692</v>
      </c>
      <c r="AK44" s="430">
        <f>INDEX(Weekly!I:I,MATCH(AI44,Weekly!E:E,0))</f>
        <v>0</v>
      </c>
      <c r="AL44" s="69">
        <f>IF(AJ44="","",_xlfn.RANK.EQ(AJ44,TopMaxScores,0))</f>
        <v>35</v>
      </c>
    </row>
    <row r="45" spans="1:38">
      <c r="A45" s="623" t="str">
        <f>A44</f>
        <v>Chris Townsend</v>
      </c>
      <c r="B45" s="439" t="str">
        <f t="shared" si="1"/>
        <v>Luton</v>
      </c>
      <c r="C45" s="505">
        <f>IF(J45="","",INDEX(Odds!C:C,MATCH(J45,Odds!G:G,0)))</f>
        <v>7</v>
      </c>
      <c r="D45" s="440">
        <f t="shared" si="2"/>
        <v>10</v>
      </c>
      <c r="E45" s="453" t="str">
        <f t="shared" si="3"/>
        <v>x</v>
      </c>
      <c r="F45" s="441"/>
      <c r="G45" s="442"/>
      <c r="H45" s="204"/>
      <c r="I45" s="373"/>
      <c r="J45" s="435" t="s">
        <v>646</v>
      </c>
      <c r="K45" s="188" t="str">
        <f>INDEX(Odds!H:H,MATCH(J45,Odds!G:G,0))</f>
        <v>9/1</v>
      </c>
      <c r="L45" s="443">
        <f>INDEX(Odds!I:I,MATCH(J45,Odds!G:G,0))</f>
        <v>10</v>
      </c>
      <c r="M45" s="437">
        <f>INDEX(Odds!J:J,MATCH(J45,Odds!G:G,0))</f>
        <v>0</v>
      </c>
      <c r="N45" s="438">
        <f t="shared" si="4"/>
        <v>0</v>
      </c>
      <c r="O45" s="561"/>
      <c r="P45" s="558" t="str">
        <f>IF(Match!B45="","",Match!V45)</f>
        <v xml:space="preserve">Villa 2-0 Wolves </v>
      </c>
      <c r="Q45" s="88"/>
      <c r="R45" s="35" t="str">
        <f>IF(Odds!G45="","",Odds!G45)</f>
        <v>Villa</v>
      </c>
      <c r="S45" s="36" t="str">
        <f>INDEX(Odds!H:H,MATCH(R45,Odds!G:G,0))</f>
        <v>13/20</v>
      </c>
      <c r="T45" s="40">
        <f t="shared" si="0"/>
        <v>1</v>
      </c>
      <c r="U45" s="20" t="str">
        <f>INDEX(Match!Q:Q,MATCH(P45,Match!V:V,0))</f>
        <v>Villa</v>
      </c>
      <c r="V45" s="20">
        <f>INDEX(Match!G:G,MATCH(P45,Match!V:V,0))</f>
        <v>2</v>
      </c>
      <c r="W45" s="20" t="str">
        <f>INDEX(Match!R:R,MATCH(P45,Match!V:V,0))</f>
        <v>Wolves</v>
      </c>
      <c r="X45" s="20">
        <f>INDEX(Match!H:H,MATCH(P45,Match!V:V,0))</f>
        <v>0</v>
      </c>
      <c r="AB45" s="565" t="str">
        <f>IF(O45="","",INDEX(Odds!H:H,MATCH(O45,Odds!G:G,0)))</f>
        <v/>
      </c>
      <c r="AC45" s="586">
        <f>IF(J45="","",INDEX(Odds!K:K,MATCH(J45,Odds!G:G,0)))</f>
        <v>1</v>
      </c>
      <c r="AD45" s="69" t="s">
        <v>364</v>
      </c>
      <c r="AE45" s="72">
        <f>INDEX(Picks!F:F,MATCH(AD45,Picks!A:A,0))</f>
        <v>-10</v>
      </c>
      <c r="AF45" s="430">
        <f>INDEX(Weekly!I:I,MATCH(AD45,Weekly!E:E,0))</f>
        <v>0</v>
      </c>
      <c r="AG45" s="69" t="str">
        <f>IF(AE45=-10,"",_xlfn.RANK.EQ(AE45,TopScores,0))</f>
        <v/>
      </c>
      <c r="AI45" s="592" t="s">
        <v>294</v>
      </c>
      <c r="AJ45" s="72">
        <f>INDEX(Picks!G:G,MATCH(AI45,Picks!A:A,0))</f>
        <v>11.274592074592075</v>
      </c>
      <c r="AK45" s="430">
        <f>INDEX(Weekly!I:I,MATCH(AI45,Weekly!E:E,0))</f>
        <v>2</v>
      </c>
      <c r="AL45" s="69">
        <f>IF(AJ45="","",_xlfn.RANK.EQ(AJ45,TopMaxScores,0))</f>
        <v>36</v>
      </c>
    </row>
    <row r="46" spans="1:38" ht="13.5" thickBot="1">
      <c r="A46" s="624" t="str">
        <f>A44</f>
        <v>Chris Townsend</v>
      </c>
      <c r="B46" s="444" t="str">
        <f t="shared" si="1"/>
        <v>Palace</v>
      </c>
      <c r="C46" s="506">
        <f>IF(J46="","",INDEX(Odds!C:C,MATCH(J46,Odds!G:G,0)))</f>
        <v>7</v>
      </c>
      <c r="D46" s="445">
        <f t="shared" si="2"/>
        <v>3.2</v>
      </c>
      <c r="E46" s="453" t="str">
        <f t="shared" si="3"/>
        <v>x</v>
      </c>
      <c r="F46" s="441"/>
      <c r="G46" s="442"/>
      <c r="H46" s="204"/>
      <c r="I46" s="373"/>
      <c r="J46" s="446" t="s">
        <v>570</v>
      </c>
      <c r="K46" s="189" t="str">
        <f>INDEX(Odds!H:H,MATCH(J46,Odds!G:G,0))</f>
        <v>11/5</v>
      </c>
      <c r="L46" s="447">
        <f>INDEX(Odds!I:I,MATCH(J46,Odds!G:G,0))</f>
        <v>3.2</v>
      </c>
      <c r="M46" s="437">
        <f>INDEX(Odds!J:J,MATCH(J46,Odds!G:G,0))</f>
        <v>0</v>
      </c>
      <c r="N46" s="448">
        <f t="shared" si="4"/>
        <v>0</v>
      </c>
      <c r="O46" s="562"/>
      <c r="P46" s="558" t="str">
        <f>IF(Match!B46="","",Match!V46)</f>
        <v xml:space="preserve">Liverpool 2-0 Brighton </v>
      </c>
      <c r="Q46" s="88"/>
      <c r="R46" s="35" t="str">
        <f>IF(Odds!G46="","",Odds!G46)</f>
        <v>Liverpool</v>
      </c>
      <c r="S46" s="36" t="str">
        <f>INDEX(Odds!H:H,MATCH(R46,Odds!G:G,0))</f>
        <v>7/20</v>
      </c>
      <c r="T46" s="40">
        <f t="shared" si="0"/>
        <v>1</v>
      </c>
      <c r="U46" s="20" t="str">
        <f>INDEX(Match!Q:Q,MATCH(P46,Match!V:V,0))</f>
        <v>Liverpool</v>
      </c>
      <c r="V46" s="20">
        <f>INDEX(Match!G:G,MATCH(P46,Match!V:V,0))</f>
        <v>2</v>
      </c>
      <c r="W46" s="20" t="str">
        <f>INDEX(Match!R:R,MATCH(P46,Match!V:V,0))</f>
        <v>Brighton</v>
      </c>
      <c r="X46" s="20">
        <f>INDEX(Match!H:H,MATCH(P46,Match!V:V,0))</f>
        <v>0</v>
      </c>
      <c r="AB46" s="566" t="str">
        <f>IF(O46="","",INDEX(Odds!H:H,MATCH(O46,Odds!G:G,0)))</f>
        <v/>
      </c>
      <c r="AC46" s="586">
        <f>IF(J46="","",INDEX(Odds!K:K,MATCH(J46,Odds!G:G,0)))</f>
        <v>1</v>
      </c>
      <c r="AD46" s="69" t="s">
        <v>359</v>
      </c>
      <c r="AE46" s="72">
        <f>INDEX(Picks!F:F,MATCH(AD46,Picks!A:A,0))</f>
        <v>-10</v>
      </c>
      <c r="AF46" s="430">
        <f>INDEX(Weekly!I:I,MATCH(AD46,Weekly!E:E,0))</f>
        <v>0</v>
      </c>
      <c r="AG46" s="69" t="str">
        <f>IF(AE46=-10,"",_xlfn.RANK.EQ(AE46,TopScores,0))</f>
        <v/>
      </c>
      <c r="AI46" s="71" t="s">
        <v>301</v>
      </c>
      <c r="AJ46" s="72">
        <f>INDEX(Picks!G:G,MATCH(AI46,Picks!A:A,0))</f>
        <v>10.932444444444442</v>
      </c>
      <c r="AK46" s="430">
        <f>INDEX(Weekly!I:I,MATCH(AI46,Weekly!E:E,0))</f>
        <v>1</v>
      </c>
      <c r="AL46" s="69">
        <f>IF(AJ46="","",_xlfn.RANK.EQ(AJ46,TopMaxScores,0))</f>
        <v>37</v>
      </c>
    </row>
    <row r="47" spans="1:38" ht="13.9" thickTop="1" thickBot="1">
      <c r="A47" s="433" t="str">
        <f>Results!B47</f>
        <v>Dan Gibbard</v>
      </c>
      <c r="B47" s="449" t="str">
        <f t="shared" si="1"/>
        <v/>
      </c>
      <c r="C47" s="505" t="str">
        <f>IF(J47="","",INDEX(Odds!C:C,MATCH(J47,Odds!G:G,0)))</f>
        <v/>
      </c>
      <c r="D47" s="434" t="str">
        <f t="shared" si="2"/>
        <v/>
      </c>
      <c r="E47" s="452" t="str">
        <f t="shared" si="3"/>
        <v/>
      </c>
      <c r="F47" s="375">
        <f>IF(J47="",-10,INDEX(Results!T:T,MATCH(A47,Results!V:V,0)))</f>
        <v>-10</v>
      </c>
      <c r="G47" s="186" t="str">
        <f>IF(J47="","",INDEX(Results!AI:AI,MATCH(A47,Results!V:V,0)))</f>
        <v/>
      </c>
      <c r="H47" s="204">
        <f>IF(G47="",0,1)</f>
        <v>0</v>
      </c>
      <c r="I47" s="372" t="str">
        <f>INDEX(Picks!AG:AG,MATCH(A47,Picks!AD:AD,0))</f>
        <v/>
      </c>
      <c r="J47" s="435"/>
      <c r="K47" s="187" t="e">
        <f>INDEX(Odds!H:H,MATCH(J47,Odds!G:G,0))</f>
        <v>#N/A</v>
      </c>
      <c r="L47" s="436" t="e">
        <f>INDEX(Odds!I:I,MATCH(J47,Odds!G:G,0))</f>
        <v>#N/A</v>
      </c>
      <c r="M47" s="450" t="e">
        <f>INDEX(Odds!J:J,MATCH(J47,Odds!G:G,0))</f>
        <v>#N/A</v>
      </c>
      <c r="N47" s="438" t="e">
        <f t="shared" si="4"/>
        <v>#N/A</v>
      </c>
      <c r="O47" s="561"/>
      <c r="P47" s="559" t="str">
        <f>IF(Match!B47="","",Match!V47)</f>
        <v xml:space="preserve">Man C 0-0 Arsenal </v>
      </c>
      <c r="Q47" s="88"/>
      <c r="R47" s="41" t="str">
        <f>IF(Odds!G47="","",Odds!G47)</f>
        <v>Man C</v>
      </c>
      <c r="S47" s="42" t="str">
        <f>INDEX(Odds!H:H,MATCH(R47,Odds!G:G,0))</f>
        <v>5/6</v>
      </c>
      <c r="T47" s="43">
        <f>IF(V47&gt;X47,1,0)</f>
        <v>0</v>
      </c>
      <c r="U47" s="20" t="str">
        <f>INDEX(Match!Q:Q,MATCH(P47,Match!V:V,0))</f>
        <v>Man C</v>
      </c>
      <c r="V47" s="20">
        <f>INDEX(Match!G:G,MATCH(P47,Match!V:V,0))</f>
        <v>0</v>
      </c>
      <c r="W47" s="20" t="str">
        <f>INDEX(Match!R:R,MATCH(P47,Match!V:V,0))</f>
        <v>Arsenal</v>
      </c>
      <c r="X47" s="20">
        <f>INDEX(Match!H:H,MATCH(P47,Match!V:V,0))</f>
        <v>0</v>
      </c>
      <c r="AB47" s="565" t="str">
        <f>IF(O47="","",INDEX(Odds!H:H,MATCH(O47,Odds!G:G,0)))</f>
        <v/>
      </c>
      <c r="AC47" s="586" t="str">
        <f>IF(J47="","",INDEX(Odds!K:K,MATCH(J47,Odds!G:G,0)))</f>
        <v/>
      </c>
      <c r="AD47" s="69" t="s">
        <v>529</v>
      </c>
      <c r="AE47" s="72">
        <f>INDEX(Picks!F:F,MATCH(AD47,Picks!A:A,0))</f>
        <v>-10</v>
      </c>
      <c r="AF47" s="430">
        <f>INDEX(Weekly!I:I,MATCH(AD47,Weekly!E:E,0))</f>
        <v>0</v>
      </c>
      <c r="AG47" s="69" t="str">
        <f>IF(AE47=-10,"",_xlfn.RANK.EQ(AE47,TopScores,0))</f>
        <v/>
      </c>
      <c r="AI47" s="71" t="s">
        <v>277</v>
      </c>
      <c r="AJ47" s="72">
        <f>INDEX(Picks!G:G,MATCH(AI47,Picks!A:A,0))</f>
        <v>10.683333333333334</v>
      </c>
      <c r="AK47" s="430">
        <f>INDEX(Weekly!I:I,MATCH(AI47,Weekly!E:E,0))</f>
        <v>3</v>
      </c>
      <c r="AL47" s="69">
        <f>IF(AJ47="","",_xlfn.RANK.EQ(AJ47,TopMaxScores,0))</f>
        <v>38</v>
      </c>
    </row>
    <row r="48" spans="1:38">
      <c r="A48" s="623" t="str">
        <f>A47</f>
        <v>Dan Gibbard</v>
      </c>
      <c r="B48" s="439" t="str">
        <f t="shared" si="1"/>
        <v/>
      </c>
      <c r="C48" s="505" t="str">
        <f>IF(J48="","",INDEX(Odds!C:C,MATCH(J48,Odds!G:G,0)))</f>
        <v/>
      </c>
      <c r="D48" s="440" t="str">
        <f t="shared" si="2"/>
        <v/>
      </c>
      <c r="E48" s="453" t="str">
        <f t="shared" si="3"/>
        <v/>
      </c>
      <c r="F48" s="441"/>
      <c r="G48" s="442"/>
      <c r="H48" s="204"/>
      <c r="I48" s="373"/>
      <c r="J48" s="435"/>
      <c r="K48" s="188" t="e">
        <f>INDEX(Odds!H:H,MATCH(J48,Odds!G:G,0))</f>
        <v>#N/A</v>
      </c>
      <c r="L48" s="443" t="e">
        <f>INDEX(Odds!I:I,MATCH(J48,Odds!G:G,0))</f>
        <v>#N/A</v>
      </c>
      <c r="M48" s="437" t="e">
        <f>INDEX(Odds!J:J,MATCH(J48,Odds!G:G,0))</f>
        <v>#N/A</v>
      </c>
      <c r="N48" s="438" t="e">
        <f t="shared" si="4"/>
        <v>#N/A</v>
      </c>
      <c r="O48" s="561"/>
      <c r="P48" s="58"/>
      <c r="R48" s="35" t="str">
        <f>IF(Odds!G48="","",Odds!G48)</f>
        <v>Blackburn draw</v>
      </c>
      <c r="S48" s="36" t="str">
        <f>INDEX(Odds!H:H,MATCH(R48,Odds!G:G,0))</f>
        <v>27/10</v>
      </c>
      <c r="T48" s="40">
        <f t="shared" ref="T48:T93" si="5">IF(V2=X2,1,0)</f>
        <v>0</v>
      </c>
      <c r="AB48" s="565" t="str">
        <f>IF(O48="","",INDEX(Odds!H:H,MATCH(O48,Odds!G:G,0)))</f>
        <v/>
      </c>
      <c r="AC48" s="586" t="str">
        <f>IF(J48="","",INDEX(Odds!K:K,MATCH(J48,Odds!G:G,0)))</f>
        <v/>
      </c>
      <c r="AD48" s="71" t="s">
        <v>506</v>
      </c>
      <c r="AE48" s="72">
        <f>INDEX(Picks!F:F,MATCH(AD48,Picks!A:A,0))</f>
        <v>-10</v>
      </c>
      <c r="AF48" s="430">
        <f>INDEX(Weekly!I:I,MATCH(AD48,Weekly!E:E,0))</f>
        <v>0</v>
      </c>
      <c r="AG48" s="69" t="str">
        <f>IF(AE48=-10,"",_xlfn.RANK.EQ(AE48,TopScores,0))</f>
        <v/>
      </c>
      <c r="AI48" s="592" t="s">
        <v>295</v>
      </c>
      <c r="AJ48" s="72">
        <f>INDEX(Picks!G:G,MATCH(AI48,Picks!A:A,0))</f>
        <v>10.125999999999998</v>
      </c>
      <c r="AK48" s="430">
        <f>INDEX(Weekly!I:I,MATCH(AI48,Weekly!E:E,0))</f>
        <v>2</v>
      </c>
      <c r="AL48" s="69">
        <f>IF(AJ48="","",_xlfn.RANK.EQ(AJ48,TopMaxScores,0))</f>
        <v>39</v>
      </c>
    </row>
    <row r="49" spans="1:38" ht="13.5" thickBot="1">
      <c r="A49" s="624" t="str">
        <f>A47</f>
        <v>Dan Gibbard</v>
      </c>
      <c r="B49" s="444" t="str">
        <f t="shared" si="1"/>
        <v/>
      </c>
      <c r="C49" s="506" t="str">
        <f>IF(J49="","",INDEX(Odds!C:C,MATCH(J49,Odds!G:G,0)))</f>
        <v/>
      </c>
      <c r="D49" s="445" t="str">
        <f t="shared" si="2"/>
        <v/>
      </c>
      <c r="E49" s="453" t="str">
        <f t="shared" si="3"/>
        <v/>
      </c>
      <c r="F49" s="441"/>
      <c r="G49" s="442"/>
      <c r="H49" s="204"/>
      <c r="I49" s="373"/>
      <c r="J49" s="446"/>
      <c r="K49" s="189" t="e">
        <f>INDEX(Odds!H:H,MATCH(J49,Odds!G:G,0))</f>
        <v>#N/A</v>
      </c>
      <c r="L49" s="447" t="e">
        <f>INDEX(Odds!I:I,MATCH(J49,Odds!G:G,0))</f>
        <v>#N/A</v>
      </c>
      <c r="M49" s="437" t="e">
        <f>INDEX(Odds!J:J,MATCH(J49,Odds!G:G,0))</f>
        <v>#N/A</v>
      </c>
      <c r="N49" s="448" t="e">
        <f t="shared" si="4"/>
        <v>#N/A</v>
      </c>
      <c r="O49" s="562"/>
      <c r="P49" s="58"/>
      <c r="R49" s="35" t="str">
        <f>IF(Odds!G49="","",Odds!G49)</f>
        <v>Bristol C draw</v>
      </c>
      <c r="S49" s="36" t="str">
        <f>INDEX(Odds!H:H,MATCH(R49,Odds!G:G,0))</f>
        <v>5/2</v>
      </c>
      <c r="T49" s="40">
        <f t="shared" si="5"/>
        <v>0</v>
      </c>
      <c r="AB49" s="566" t="str">
        <f>IF(O49="","",INDEX(Odds!H:H,MATCH(O49,Odds!G:G,0)))</f>
        <v/>
      </c>
      <c r="AC49" s="586" t="str">
        <f>IF(J49="","",INDEX(Odds!K:K,MATCH(J49,Odds!G:G,0)))</f>
        <v/>
      </c>
      <c r="AD49" s="69" t="s">
        <v>507</v>
      </c>
      <c r="AE49" s="72">
        <f>INDEX(Picks!F:F,MATCH(AD49,Picks!A:A,0))</f>
        <v>-10</v>
      </c>
      <c r="AF49" s="430">
        <f>INDEX(Weekly!I:I,MATCH(AD49,Weekly!E:E,0))</f>
        <v>0</v>
      </c>
      <c r="AG49" s="69" t="str">
        <f>IF(AE49=-10,"",_xlfn.RANK.EQ(AE49,TopScores,0))</f>
        <v/>
      </c>
      <c r="AI49" s="69" t="s">
        <v>273</v>
      </c>
      <c r="AJ49" s="72">
        <f>INDEX(Picks!G:G,MATCH(AI49,Picks!A:A,0))</f>
        <v>7.1428571428571406</v>
      </c>
      <c r="AK49" s="430">
        <f>INDEX(Weekly!I:I,MATCH(AI49,Weekly!E:E,0))</f>
        <v>2</v>
      </c>
      <c r="AL49" s="69">
        <f>IF(AJ49="","",_xlfn.RANK.EQ(AJ49,TopMaxScores,0))</f>
        <v>40</v>
      </c>
    </row>
    <row r="50" spans="1:38" ht="13.9" thickTop="1" thickBot="1">
      <c r="A50" s="433" t="str">
        <f>Results!B50</f>
        <v>Dave Bell</v>
      </c>
      <c r="B50" s="449" t="str">
        <f t="shared" si="1"/>
        <v>Brighton</v>
      </c>
      <c r="C50" s="505">
        <f>IF(J50="","",INDEX(Odds!C:C,MATCH(J50,Odds!G:G,0)))</f>
        <v>1</v>
      </c>
      <c r="D50" s="434">
        <f t="shared" si="2"/>
        <v>7.5</v>
      </c>
      <c r="E50" s="452" t="str">
        <f t="shared" si="3"/>
        <v>x</v>
      </c>
      <c r="F50" s="375">
        <f>IF(J50="",-10,INDEX(Results!T:T,MATCH(A50,Results!V:V,0)))</f>
        <v>-7</v>
      </c>
      <c r="G50" s="186">
        <f>IF(J50="","",INDEX(Results!AI:AI,MATCH(A50,Results!V:V,0)))</f>
        <v>927</v>
      </c>
      <c r="H50" s="204">
        <f>IF(G50="",0,1)</f>
        <v>1</v>
      </c>
      <c r="I50" s="372">
        <f>INDEX(Picks!AG:AG,MATCH(A50,Picks!AD:AD,0))</f>
        <v>35</v>
      </c>
      <c r="J50" s="435" t="s">
        <v>649</v>
      </c>
      <c r="K50" s="187" t="str">
        <f>INDEX(Odds!H:H,MATCH(J50,Odds!G:G,0))</f>
        <v>13/2</v>
      </c>
      <c r="L50" s="436">
        <f>INDEX(Odds!I:I,MATCH(J50,Odds!G:G,0))</f>
        <v>7.5</v>
      </c>
      <c r="M50" s="450">
        <f>INDEX(Odds!J:J,MATCH(J50,Odds!G:G,0))</f>
        <v>0</v>
      </c>
      <c r="N50" s="438">
        <f t="shared" si="4"/>
        <v>0</v>
      </c>
      <c r="O50" s="561"/>
      <c r="P50" s="58"/>
      <c r="Q50" s="58" t="s">
        <v>182</v>
      </c>
      <c r="R50" s="35" t="str">
        <f>IF(Odds!G50="","",Odds!G50)</f>
        <v>Cardiff draw</v>
      </c>
      <c r="S50" s="36" t="str">
        <f>INDEX(Odds!H:H,MATCH(R50,Odds!G:G,0))</f>
        <v>21/10</v>
      </c>
      <c r="T50" s="40">
        <f t="shared" si="5"/>
        <v>0</v>
      </c>
      <c r="AB50" s="565" t="str">
        <f>IF(O50="","",INDEX(Odds!H:H,MATCH(O50,Odds!G:G,0)))</f>
        <v/>
      </c>
      <c r="AC50" s="586">
        <f>IF(J50="","",INDEX(Odds!K:K,MATCH(J50,Odds!G:G,0)))</f>
        <v>1</v>
      </c>
      <c r="AD50" s="69" t="s">
        <v>508</v>
      </c>
      <c r="AE50" s="72">
        <f>INDEX(Picks!F:F,MATCH(AD50,Picks!A:A,0))</f>
        <v>-10</v>
      </c>
      <c r="AF50" s="430">
        <f>INDEX(Weekly!I:I,MATCH(AD50,Weekly!E:E,0))</f>
        <v>0</v>
      </c>
      <c r="AG50" s="69" t="str">
        <f>IF(AE50=-10,"",_xlfn.RANK.EQ(AE50,TopScores,0))</f>
        <v/>
      </c>
      <c r="AI50" s="592" t="s">
        <v>307</v>
      </c>
      <c r="AJ50" s="72">
        <f>INDEX(Picks!G:G,MATCH(AI50,Picks!A:A,0))</f>
        <v>6.4761904761904745</v>
      </c>
      <c r="AK50" s="430">
        <f>INDEX(Weekly!I:I,MATCH(AI50,Weekly!E:E,0))</f>
        <v>2</v>
      </c>
      <c r="AL50" s="69">
        <f>IF(AJ50="","",_xlfn.RANK.EQ(AJ50,TopMaxScores,0))</f>
        <v>41</v>
      </c>
    </row>
    <row r="51" spans="1:38">
      <c r="A51" s="623" t="str">
        <f>A50</f>
        <v>Dave Bell</v>
      </c>
      <c r="B51" s="439" t="str">
        <f t="shared" si="1"/>
        <v>Luton</v>
      </c>
      <c r="C51" s="505">
        <f>IF(J51="","",INDEX(Odds!C:C,MATCH(J51,Odds!G:G,0)))</f>
        <v>7</v>
      </c>
      <c r="D51" s="440">
        <f t="shared" si="2"/>
        <v>10</v>
      </c>
      <c r="E51" s="453" t="str">
        <f t="shared" si="3"/>
        <v>x</v>
      </c>
      <c r="F51" s="441"/>
      <c r="G51" s="442"/>
      <c r="H51" s="204"/>
      <c r="I51" s="373"/>
      <c r="J51" s="435" t="s">
        <v>646</v>
      </c>
      <c r="K51" s="188" t="str">
        <f>INDEX(Odds!H:H,MATCH(J51,Odds!G:G,0))</f>
        <v>9/1</v>
      </c>
      <c r="L51" s="443">
        <f>INDEX(Odds!I:I,MATCH(J51,Odds!G:G,0))</f>
        <v>10</v>
      </c>
      <c r="M51" s="437">
        <f>INDEX(Odds!J:J,MATCH(J51,Odds!G:G,0))</f>
        <v>0</v>
      </c>
      <c r="N51" s="438">
        <f t="shared" si="4"/>
        <v>0</v>
      </c>
      <c r="O51" s="561"/>
      <c r="P51" s="58"/>
      <c r="R51" s="35" t="str">
        <f>IF(Odds!G51="","",Odds!G51)</f>
        <v>Huddersfield draw</v>
      </c>
      <c r="S51" s="36" t="str">
        <f>INDEX(Odds!H:H,MATCH(R51,Odds!G:G,0))</f>
        <v>23/10</v>
      </c>
      <c r="T51" s="40">
        <f t="shared" si="5"/>
        <v>0</v>
      </c>
      <c r="AB51" s="565" t="str">
        <f>IF(O51="","",INDEX(Odds!H:H,MATCH(O51,Odds!G:G,0)))</f>
        <v/>
      </c>
      <c r="AC51" s="586">
        <f>IF(J51="","",INDEX(Odds!K:K,MATCH(J51,Odds!G:G,0)))</f>
        <v>1</v>
      </c>
      <c r="AD51" s="69" t="s">
        <v>515</v>
      </c>
      <c r="AE51" s="72">
        <f>INDEX(Picks!F:F,MATCH(AD51,Picks!A:A,0))</f>
        <v>-10</v>
      </c>
      <c r="AF51" s="430">
        <f>INDEX(Weekly!I:I,MATCH(AD51,Weekly!E:E,0))</f>
        <v>0</v>
      </c>
      <c r="AG51" s="69" t="str">
        <f>IF(AE51=-10,"",_xlfn.RANK.EQ(AE51,TopScores,0))</f>
        <v/>
      </c>
      <c r="AI51" s="71" t="s">
        <v>282</v>
      </c>
      <c r="AJ51" s="72">
        <f>INDEX(Picks!G:G,MATCH(AI51,Picks!A:A,0))</f>
        <v>6.4761904761904745</v>
      </c>
      <c r="AK51" s="430">
        <f>INDEX(Weekly!I:I,MATCH(AI51,Weekly!E:E,0))</f>
        <v>1</v>
      </c>
      <c r="AL51" s="69">
        <f>IF(AJ51="","",_xlfn.RANK.EQ(AJ51,TopMaxScores,0))</f>
        <v>41</v>
      </c>
    </row>
    <row r="52" spans="1:38" ht="13.5" thickBot="1">
      <c r="A52" s="624" t="str">
        <f>A50</f>
        <v>Dave Bell</v>
      </c>
      <c r="B52" s="444" t="str">
        <f t="shared" si="1"/>
        <v>Burnley</v>
      </c>
      <c r="C52" s="506">
        <f>IF(J52="","",INDEX(Odds!C:C,MATCH(J52,Odds!G:G,0)))</f>
        <v>7</v>
      </c>
      <c r="D52" s="445">
        <f t="shared" si="2"/>
        <v>9</v>
      </c>
      <c r="E52" s="453" t="str">
        <f t="shared" si="3"/>
        <v>x</v>
      </c>
      <c r="F52" s="441"/>
      <c r="G52" s="442"/>
      <c r="H52" s="204"/>
      <c r="I52" s="373"/>
      <c r="J52" s="446" t="s">
        <v>642</v>
      </c>
      <c r="K52" s="189" t="str">
        <f>INDEX(Odds!H:H,MATCH(J52,Odds!G:G,0))</f>
        <v>8/1</v>
      </c>
      <c r="L52" s="447">
        <f>INDEX(Odds!I:I,MATCH(J52,Odds!G:G,0))</f>
        <v>9</v>
      </c>
      <c r="M52" s="437">
        <f>INDEX(Odds!J:J,MATCH(J52,Odds!G:G,0))</f>
        <v>0</v>
      </c>
      <c r="N52" s="448">
        <f t="shared" si="4"/>
        <v>0</v>
      </c>
      <c r="O52" s="562"/>
      <c r="P52" s="58"/>
      <c r="R52" s="35" t="str">
        <f>IF(Odds!G52="","",Odds!G52)</f>
        <v>Hull draw</v>
      </c>
      <c r="S52" s="36" t="str">
        <f>INDEX(Odds!H:H,MATCH(R52,Odds!G:G,0))</f>
        <v>12/5</v>
      </c>
      <c r="T52" s="40">
        <f t="shared" si="5"/>
        <v>0</v>
      </c>
      <c r="AB52" s="566" t="str">
        <f>IF(O52="","",INDEX(Odds!H:H,MATCH(O52,Odds!G:G,0)))</f>
        <v/>
      </c>
      <c r="AC52" s="586">
        <f>IF(J52="","",INDEX(Odds!K:K,MATCH(J52,Odds!G:G,0)))</f>
        <v>1</v>
      </c>
      <c r="AD52" s="58"/>
      <c r="AE52" s="58"/>
      <c r="AF52" s="431"/>
      <c r="AG52" s="58"/>
      <c r="AH52" s="58"/>
      <c r="AI52" s="58"/>
      <c r="AJ52" s="58"/>
      <c r="AK52" s="58"/>
      <c r="AL52" s="58"/>
    </row>
    <row r="53" spans="1:38" ht="13.9" thickTop="1" thickBot="1">
      <c r="A53" s="433" t="str">
        <f>Results!B53</f>
        <v>Dave Orrell</v>
      </c>
      <c r="B53" s="449" t="str">
        <f t="shared" si="1"/>
        <v/>
      </c>
      <c r="C53" s="505" t="str">
        <f>IF(J53="","",INDEX(Odds!C:C,MATCH(J53,Odds!G:G,0)))</f>
        <v/>
      </c>
      <c r="D53" s="434" t="str">
        <f t="shared" si="2"/>
        <v/>
      </c>
      <c r="E53" s="452" t="str">
        <f t="shared" si="3"/>
        <v/>
      </c>
      <c r="F53" s="375">
        <f>IF(J53="",-10,INDEX(Results!T:T,MATCH(A53,Results!V:V,0)))</f>
        <v>-10</v>
      </c>
      <c r="G53" s="186" t="str">
        <f>IF(J53="","",INDEX(Results!AI:AI,MATCH(A53,Results!V:V,0)))</f>
        <v/>
      </c>
      <c r="H53" s="204">
        <f>IF(G53="",0,1)</f>
        <v>0</v>
      </c>
      <c r="I53" s="372" t="str">
        <f>INDEX(Picks!AG:AG,MATCH(A53,Picks!AD:AD,0))</f>
        <v/>
      </c>
      <c r="J53" s="435"/>
      <c r="K53" s="187" t="e">
        <f>INDEX(Odds!H:H,MATCH(J53,Odds!G:G,0))</f>
        <v>#N/A</v>
      </c>
      <c r="L53" s="436" t="e">
        <f>INDEX(Odds!I:I,MATCH(J53,Odds!G:G,0))</f>
        <v>#N/A</v>
      </c>
      <c r="M53" s="450" t="e">
        <f>INDEX(Odds!J:J,MATCH(J53,Odds!G:G,0))</f>
        <v>#N/A</v>
      </c>
      <c r="N53" s="438" t="e">
        <f t="shared" si="4"/>
        <v>#N/A</v>
      </c>
      <c r="O53" s="561"/>
      <c r="P53" s="58"/>
      <c r="R53" s="35" t="str">
        <f>IF(Odds!G53="","",Odds!G53)</f>
        <v>Millwall draw</v>
      </c>
      <c r="S53" s="36" t="str">
        <f>INDEX(Odds!H:H,MATCH(R53,Odds!G:G,0))</f>
        <v>2/1</v>
      </c>
      <c r="T53" s="40">
        <f t="shared" si="5"/>
        <v>1</v>
      </c>
      <c r="AB53" s="565" t="str">
        <f>IF(O53="","",INDEX(Odds!H:H,MATCH(O53,Odds!G:G,0)))</f>
        <v/>
      </c>
      <c r="AC53" s="586" t="str">
        <f>IF(J53="","",INDEX(Odds!K:K,MATCH(J53,Odds!G:G,0)))</f>
        <v/>
      </c>
      <c r="AD53" s="58"/>
      <c r="AE53" s="58"/>
      <c r="AF53" s="431"/>
      <c r="AG53" s="58"/>
      <c r="AH53" s="58"/>
      <c r="AI53" s="58"/>
      <c r="AJ53" s="58"/>
      <c r="AK53" s="58"/>
      <c r="AL53" s="58"/>
    </row>
    <row r="54" spans="1:38">
      <c r="A54" s="623" t="str">
        <f>A53</f>
        <v>Dave Orrell</v>
      </c>
      <c r="B54" s="439" t="str">
        <f t="shared" si="1"/>
        <v/>
      </c>
      <c r="C54" s="505" t="str">
        <f>IF(J54="","",INDEX(Odds!C:C,MATCH(J54,Odds!G:G,0)))</f>
        <v/>
      </c>
      <c r="D54" s="440" t="str">
        <f t="shared" si="2"/>
        <v/>
      </c>
      <c r="E54" s="453" t="str">
        <f t="shared" si="3"/>
        <v/>
      </c>
      <c r="F54" s="441"/>
      <c r="G54" s="442"/>
      <c r="H54" s="204"/>
      <c r="I54" s="373"/>
      <c r="J54" s="435"/>
      <c r="K54" s="188" t="e">
        <f>INDEX(Odds!H:H,MATCH(J54,Odds!G:G,0))</f>
        <v>#N/A</v>
      </c>
      <c r="L54" s="443" t="e">
        <f>INDEX(Odds!I:I,MATCH(J54,Odds!G:G,0))</f>
        <v>#N/A</v>
      </c>
      <c r="M54" s="437" t="e">
        <f>INDEX(Odds!J:J,MATCH(J54,Odds!G:G,0))</f>
        <v>#N/A</v>
      </c>
      <c r="N54" s="438" t="e">
        <f t="shared" si="4"/>
        <v>#N/A</v>
      </c>
      <c r="O54" s="561"/>
      <c r="P54" s="58"/>
      <c r="R54" s="35" t="str">
        <f>IF(Odds!G54="","",Odds!G54)</f>
        <v>Norwich draw</v>
      </c>
      <c r="S54" s="36" t="str">
        <f>INDEX(Odds!H:H,MATCH(R54,Odds!G:G,0))</f>
        <v>10/3</v>
      </c>
      <c r="T54" s="40">
        <f t="shared" si="5"/>
        <v>0</v>
      </c>
      <c r="AB54" s="565" t="str">
        <f>IF(O54="","",INDEX(Odds!H:H,MATCH(O54,Odds!G:G,0)))</f>
        <v/>
      </c>
      <c r="AC54" s="586" t="str">
        <f>IF(J54="","",INDEX(Odds!K:K,MATCH(J54,Odds!G:G,0)))</f>
        <v/>
      </c>
      <c r="AD54" s="58"/>
      <c r="AE54" s="58"/>
      <c r="AF54" s="431"/>
      <c r="AG54" s="58"/>
    </row>
    <row r="55" spans="1:38" ht="13.5" thickBot="1">
      <c r="A55" s="624" t="str">
        <f>A53</f>
        <v>Dave Orrell</v>
      </c>
      <c r="B55" s="444" t="str">
        <f t="shared" si="1"/>
        <v/>
      </c>
      <c r="C55" s="506" t="str">
        <f>IF(J55="","",INDEX(Odds!C:C,MATCH(J55,Odds!G:G,0)))</f>
        <v/>
      </c>
      <c r="D55" s="445" t="str">
        <f t="shared" si="2"/>
        <v/>
      </c>
      <c r="E55" s="453" t="str">
        <f t="shared" si="3"/>
        <v/>
      </c>
      <c r="F55" s="441"/>
      <c r="G55" s="442"/>
      <c r="H55" s="204"/>
      <c r="I55" s="373"/>
      <c r="J55" s="446"/>
      <c r="K55" s="189" t="e">
        <f>INDEX(Odds!H:H,MATCH(J55,Odds!G:G,0))</f>
        <v>#N/A</v>
      </c>
      <c r="L55" s="447" t="e">
        <f>INDEX(Odds!I:I,MATCH(J55,Odds!G:G,0))</f>
        <v>#N/A</v>
      </c>
      <c r="M55" s="437" t="e">
        <f>INDEX(Odds!J:J,MATCH(J55,Odds!G:G,0))</f>
        <v>#N/A</v>
      </c>
      <c r="N55" s="448" t="e">
        <f t="shared" si="4"/>
        <v>#N/A</v>
      </c>
      <c r="O55" s="562"/>
      <c r="P55" s="58"/>
      <c r="R55" s="35" t="str">
        <f>IF(Odds!G55="","",Odds!G55)</f>
        <v>Preston draw</v>
      </c>
      <c r="S55" s="36" t="str">
        <f>INDEX(Odds!H:H,MATCH(R55,Odds!G:G,0))</f>
        <v>29/10</v>
      </c>
      <c r="T55" s="40">
        <f t="shared" si="5"/>
        <v>0</v>
      </c>
      <c r="AB55" s="566" t="str">
        <f>IF(O55="","",INDEX(Odds!H:H,MATCH(O55,Odds!G:G,0)))</f>
        <v/>
      </c>
      <c r="AC55" s="586" t="str">
        <f>IF(J55="","",INDEX(Odds!K:K,MATCH(J55,Odds!G:G,0)))</f>
        <v/>
      </c>
      <c r="AD55" s="58"/>
      <c r="AE55" s="58"/>
      <c r="AF55" s="431"/>
      <c r="AG55" s="58"/>
    </row>
    <row r="56" spans="1:38" ht="13.9" thickTop="1" thickBot="1">
      <c r="A56" s="433" t="str">
        <f>Results!B56</f>
        <v>David Dunn</v>
      </c>
      <c r="B56" s="449" t="str">
        <f t="shared" si="1"/>
        <v>Everton</v>
      </c>
      <c r="C56" s="505">
        <f>IF(J56="","",INDEX(Odds!C:C,MATCH(J56,Odds!G:G,0)))</f>
        <v>7</v>
      </c>
      <c r="D56" s="434">
        <f t="shared" si="2"/>
        <v>3.2</v>
      </c>
      <c r="E56" s="452" t="str">
        <f t="shared" si="3"/>
        <v>x</v>
      </c>
      <c r="F56" s="375">
        <f>IF(J56="",-10,INDEX(Results!T:T,MATCH(A56,Results!V:V,0)))</f>
        <v>-7</v>
      </c>
      <c r="G56" s="186">
        <f>IF(J56="","",INDEX(Results!AI:AI,MATCH(A56,Results!V:V,0)))</f>
        <v>22.72</v>
      </c>
      <c r="H56" s="204">
        <f>IF(G56="",0,1)</f>
        <v>1</v>
      </c>
      <c r="I56" s="372">
        <f>INDEX(Picks!AG:AG,MATCH(A56,Picks!AD:AD,0))</f>
        <v>35</v>
      </c>
      <c r="J56" s="435" t="s">
        <v>638</v>
      </c>
      <c r="K56" s="187" t="str">
        <f>INDEX(Odds!H:H,MATCH(J56,Odds!G:G,0))</f>
        <v>11/5</v>
      </c>
      <c r="L56" s="436">
        <f>INDEX(Odds!I:I,MATCH(J56,Odds!G:G,0))</f>
        <v>3.2</v>
      </c>
      <c r="M56" s="450">
        <f>INDEX(Odds!J:J,MATCH(J56,Odds!G:G,0))</f>
        <v>0</v>
      </c>
      <c r="N56" s="438">
        <f t="shared" si="4"/>
        <v>0</v>
      </c>
      <c r="O56" s="561"/>
      <c r="P56" s="58"/>
      <c r="R56" s="35" t="str">
        <f>IF(Odds!G56="","",Odds!G56)</f>
        <v>QPR draw</v>
      </c>
      <c r="S56" s="36" t="str">
        <f>INDEX(Odds!H:H,MATCH(R56,Odds!G:G,0))</f>
        <v>9/4</v>
      </c>
      <c r="T56" s="40">
        <f t="shared" si="5"/>
        <v>0</v>
      </c>
      <c r="AB56" s="565" t="str">
        <f>IF(O56="","",INDEX(Odds!H:H,MATCH(O56,Odds!G:G,0)))</f>
        <v/>
      </c>
      <c r="AC56" s="586">
        <f>IF(J56="","",INDEX(Odds!K:K,MATCH(J56,Odds!G:G,0)))</f>
        <v>1</v>
      </c>
      <c r="AD56" s="58"/>
      <c r="AE56" s="58"/>
      <c r="AF56" s="431"/>
      <c r="AG56" s="58"/>
    </row>
    <row r="57" spans="1:38">
      <c r="A57" s="623" t="str">
        <f>A56</f>
        <v>David Dunn</v>
      </c>
      <c r="B57" s="439" t="str">
        <f t="shared" si="1"/>
        <v>Man U</v>
      </c>
      <c r="C57" s="505">
        <f>IF(J57="","",INDEX(Odds!C:C,MATCH(J57,Odds!G:G,0)))</f>
        <v>7</v>
      </c>
      <c r="D57" s="440">
        <f t="shared" si="2"/>
        <v>2.2000000000000002</v>
      </c>
      <c r="E57" s="453" t="str">
        <f t="shared" si="3"/>
        <v>x</v>
      </c>
      <c r="F57" s="441"/>
      <c r="G57" s="442"/>
      <c r="H57" s="204"/>
      <c r="I57" s="373"/>
      <c r="J57" s="435" t="s">
        <v>640</v>
      </c>
      <c r="K57" s="188" t="str">
        <f>INDEX(Odds!H:H,MATCH(J57,Odds!G:G,0))</f>
        <v>6/5</v>
      </c>
      <c r="L57" s="443">
        <f>INDEX(Odds!I:I,MATCH(J57,Odds!G:G,0))</f>
        <v>2.2000000000000002</v>
      </c>
      <c r="M57" s="437">
        <f>INDEX(Odds!J:J,MATCH(J57,Odds!G:G,0))</f>
        <v>0</v>
      </c>
      <c r="N57" s="438">
        <f t="shared" si="4"/>
        <v>0</v>
      </c>
      <c r="O57" s="561"/>
      <c r="P57" s="58"/>
      <c r="R57" s="35" t="str">
        <f>IF(Odds!G57="","",Odds!G57)</f>
        <v>Sheff W draw</v>
      </c>
      <c r="S57" s="36" t="str">
        <f>INDEX(Odds!H:H,MATCH(R57,Odds!G:G,0))</f>
        <v>9/4</v>
      </c>
      <c r="T57" s="40">
        <f t="shared" si="5"/>
        <v>1</v>
      </c>
      <c r="AB57" s="565" t="str">
        <f>IF(O57="","",INDEX(Odds!H:H,MATCH(O57,Odds!G:G,0)))</f>
        <v/>
      </c>
      <c r="AC57" s="586">
        <f>IF(J57="","",INDEX(Odds!K:K,MATCH(J57,Odds!G:G,0)))</f>
        <v>1</v>
      </c>
      <c r="AD57" s="58"/>
      <c r="AE57" s="58"/>
      <c r="AF57" s="431"/>
      <c r="AG57" s="58"/>
    </row>
    <row r="58" spans="1:38" ht="13.5" thickBot="1">
      <c r="A58" s="624" t="str">
        <f>A56</f>
        <v>David Dunn</v>
      </c>
      <c r="B58" s="444" t="str">
        <f t="shared" si="1"/>
        <v>Chelsea</v>
      </c>
      <c r="C58" s="506">
        <f>IF(J58="","",INDEX(Odds!C:C,MATCH(J58,Odds!G:G,0)))</f>
        <v>7</v>
      </c>
      <c r="D58" s="445">
        <f t="shared" si="2"/>
        <v>1.2857142857142856</v>
      </c>
      <c r="E58" s="453" t="str">
        <f t="shared" si="3"/>
        <v>x</v>
      </c>
      <c r="F58" s="441"/>
      <c r="G58" s="442"/>
      <c r="H58" s="204"/>
      <c r="I58" s="373"/>
      <c r="J58" s="446" t="s">
        <v>641</v>
      </c>
      <c r="K58" s="189" t="str">
        <f>INDEX(Odds!H:H,MATCH(J58,Odds!G:G,0))</f>
        <v>2/7</v>
      </c>
      <c r="L58" s="447">
        <f>INDEX(Odds!I:I,MATCH(J58,Odds!G:G,0))</f>
        <v>1.2857142857142856</v>
      </c>
      <c r="M58" s="437">
        <f>INDEX(Odds!J:J,MATCH(J58,Odds!G:G,0))</f>
        <v>0</v>
      </c>
      <c r="N58" s="448">
        <f t="shared" si="4"/>
        <v>0</v>
      </c>
      <c r="O58" s="562"/>
      <c r="P58" s="58"/>
      <c r="R58" s="35" t="str">
        <f>IF(Odds!G58="","",Odds!G58)</f>
        <v>Southampton draw</v>
      </c>
      <c r="S58" s="36" t="str">
        <f>INDEX(Odds!H:H,MATCH(R58,Odds!G:G,0))</f>
        <v>16/5</v>
      </c>
      <c r="T58" s="40">
        <f t="shared" si="5"/>
        <v>1</v>
      </c>
      <c r="AB58" s="566" t="str">
        <f>IF(O58="","",INDEX(Odds!H:H,MATCH(O58,Odds!G:G,0)))</f>
        <v/>
      </c>
      <c r="AC58" s="586">
        <f>IF(J58="","",INDEX(Odds!K:K,MATCH(J58,Odds!G:G,0)))</f>
        <v>1</v>
      </c>
      <c r="AD58" s="58"/>
      <c r="AE58" s="58"/>
      <c r="AF58" s="431"/>
      <c r="AG58" s="58"/>
    </row>
    <row r="59" spans="1:38" ht="13.9" thickTop="1" thickBot="1">
      <c r="A59" s="433" t="str">
        <f>Results!B59</f>
        <v>Emma McDermott</v>
      </c>
      <c r="B59" s="449" t="str">
        <f t="shared" si="1"/>
        <v/>
      </c>
      <c r="C59" s="505" t="str">
        <f>IF(J59="","",INDEX(Odds!C:C,MATCH(J59,Odds!G:G,0)))</f>
        <v/>
      </c>
      <c r="D59" s="434" t="str">
        <f t="shared" si="2"/>
        <v/>
      </c>
      <c r="E59" s="452" t="str">
        <f t="shared" si="3"/>
        <v/>
      </c>
      <c r="F59" s="375">
        <f>IF(J59="",-10,INDEX(Results!T:T,MATCH(A59,Results!V:V,0)))</f>
        <v>-10</v>
      </c>
      <c r="G59" s="186" t="str">
        <f>IF(J59="","",INDEX(Results!AI:AI,MATCH(A59,Results!V:V,0)))</f>
        <v/>
      </c>
      <c r="H59" s="204">
        <f>IF(G59="",0,1)</f>
        <v>0</v>
      </c>
      <c r="I59" s="372" t="str">
        <f>INDEX(Picks!AG:AG,MATCH(A59,Picks!AD:AD,0))</f>
        <v/>
      </c>
      <c r="J59" s="435"/>
      <c r="K59" s="187" t="e">
        <f>INDEX(Odds!H:H,MATCH(J59,Odds!G:G,0))</f>
        <v>#N/A</v>
      </c>
      <c r="L59" s="436" t="e">
        <f>INDEX(Odds!I:I,MATCH(J59,Odds!G:G,0))</f>
        <v>#N/A</v>
      </c>
      <c r="M59" s="450" t="e">
        <f>INDEX(Odds!J:J,MATCH(J59,Odds!G:G,0))</f>
        <v>#N/A</v>
      </c>
      <c r="N59" s="438" t="e">
        <f t="shared" si="4"/>
        <v>#N/A</v>
      </c>
      <c r="O59" s="561"/>
      <c r="P59" s="58"/>
      <c r="R59" s="35" t="str">
        <f>IF(Odds!G59="","",Odds!G59)</f>
        <v>Watford draw</v>
      </c>
      <c r="S59" s="36" t="str">
        <f>INDEX(Odds!H:H,MATCH(R59,Odds!G:G,0))</f>
        <v>29/10</v>
      </c>
      <c r="T59" s="40">
        <f t="shared" si="5"/>
        <v>1</v>
      </c>
      <c r="AB59" s="565" t="str">
        <f>IF(O59="","",INDEX(Odds!H:H,MATCH(O59,Odds!G:G,0)))</f>
        <v/>
      </c>
      <c r="AC59" s="586" t="str">
        <f>IF(J59="","",INDEX(Odds!K:K,MATCH(J59,Odds!G:G,0)))</f>
        <v/>
      </c>
      <c r="AD59" s="58"/>
      <c r="AE59" s="58"/>
      <c r="AF59" s="431"/>
      <c r="AG59" s="58"/>
    </row>
    <row r="60" spans="1:38">
      <c r="A60" s="623" t="str">
        <f>A59</f>
        <v>Emma McDermott</v>
      </c>
      <c r="B60" s="439" t="str">
        <f>IF(J60="","",J60)</f>
        <v/>
      </c>
      <c r="C60" s="505" t="str">
        <f>IF(J60="","",INDEX(Odds!C:C,MATCH(J60,Odds!G:G,0)))</f>
        <v/>
      </c>
      <c r="D60" s="440" t="str">
        <f t="shared" si="2"/>
        <v/>
      </c>
      <c r="E60" s="453" t="str">
        <f t="shared" si="3"/>
        <v/>
      </c>
      <c r="F60" s="441"/>
      <c r="G60" s="442"/>
      <c r="H60" s="204"/>
      <c r="I60" s="373"/>
      <c r="J60" s="435"/>
      <c r="K60" s="188" t="e">
        <f>INDEX(Odds!H:H,MATCH(J60,Odds!G:G,0))</f>
        <v>#N/A</v>
      </c>
      <c r="L60" s="443" t="e">
        <f>INDEX(Odds!I:I,MATCH(J60,Odds!G:G,0))</f>
        <v>#N/A</v>
      </c>
      <c r="M60" s="437" t="e">
        <f>INDEX(Odds!J:J,MATCH(J60,Odds!G:G,0))</f>
        <v>#N/A</v>
      </c>
      <c r="N60" s="438" t="e">
        <f t="shared" si="4"/>
        <v>#N/A</v>
      </c>
      <c r="O60" s="561"/>
      <c r="P60" s="58"/>
      <c r="R60" s="35" t="str">
        <f>IF(Odds!G60="","",Odds!G60)</f>
        <v>Barnsley draw</v>
      </c>
      <c r="S60" s="36" t="str">
        <f>INDEX(Odds!H:H,MATCH(R60,Odds!G:G,0))</f>
        <v>16/5</v>
      </c>
      <c r="T60" s="40">
        <f t="shared" si="5"/>
        <v>0</v>
      </c>
      <c r="AB60" s="565" t="str">
        <f>IF(O60="","",INDEX(Odds!H:H,MATCH(O60,Odds!G:G,0)))</f>
        <v/>
      </c>
      <c r="AC60" s="586" t="str">
        <f>IF(J60="","",INDEX(Odds!K:K,MATCH(J60,Odds!G:G,0)))</f>
        <v/>
      </c>
      <c r="AD60" s="58"/>
      <c r="AE60" s="58"/>
      <c r="AF60" s="431"/>
      <c r="AG60" s="58"/>
    </row>
    <row r="61" spans="1:38" ht="13.5" thickBot="1">
      <c r="A61" s="624" t="str">
        <f>A59</f>
        <v>Emma McDermott</v>
      </c>
      <c r="B61" s="444" t="str">
        <f t="shared" ref="B61:B109" si="6">IF(J61="","",J61)</f>
        <v/>
      </c>
      <c r="C61" s="506" t="str">
        <f>IF(J61="","",INDEX(Odds!C:C,MATCH(J61,Odds!G:G,0)))</f>
        <v/>
      </c>
      <c r="D61" s="445" t="str">
        <f t="shared" ref="D61:D109" si="7">IF(J61="","",L61)</f>
        <v/>
      </c>
      <c r="E61" s="453" t="str">
        <f t="shared" si="3"/>
        <v/>
      </c>
      <c r="F61" s="441"/>
      <c r="G61" s="442"/>
      <c r="H61" s="204"/>
      <c r="I61" s="373"/>
      <c r="J61" s="446"/>
      <c r="K61" s="189" t="e">
        <f>INDEX(Odds!H:H,MATCH(J61,Odds!G:G,0))</f>
        <v>#N/A</v>
      </c>
      <c r="L61" s="447" t="e">
        <f>INDEX(Odds!I:I,MATCH(J61,Odds!G:G,0))</f>
        <v>#N/A</v>
      </c>
      <c r="M61" s="437" t="e">
        <f>INDEX(Odds!J:J,MATCH(J61,Odds!G:G,0))</f>
        <v>#N/A</v>
      </c>
      <c r="N61" s="448" t="e">
        <f t="shared" si="4"/>
        <v>#N/A</v>
      </c>
      <c r="O61" s="562"/>
      <c r="P61" s="58"/>
      <c r="R61" s="35" t="str">
        <f>IF(Odds!G61="","",Odds!G61)</f>
        <v>Derby draw</v>
      </c>
      <c r="S61" s="36" t="str">
        <f>INDEX(Odds!H:H,MATCH(R61,Odds!G:G,0))</f>
        <v>13/5</v>
      </c>
      <c r="T61" s="40">
        <f t="shared" si="5"/>
        <v>0</v>
      </c>
      <c r="AB61" s="566" t="str">
        <f>IF(O61="","",INDEX(Odds!H:H,MATCH(O61,Odds!G:G,0)))</f>
        <v/>
      </c>
      <c r="AC61" s="586" t="str">
        <f>IF(J61="","",INDEX(Odds!K:K,MATCH(J61,Odds!G:G,0)))</f>
        <v/>
      </c>
      <c r="AD61" s="58"/>
      <c r="AE61" s="58"/>
      <c r="AF61" s="431"/>
      <c r="AG61" s="58"/>
    </row>
    <row r="62" spans="1:38" ht="13.9" thickTop="1" thickBot="1">
      <c r="A62" s="433" t="str">
        <f>Results!B62</f>
        <v>Frank Allen</v>
      </c>
      <c r="B62" s="449" t="str">
        <f t="shared" si="6"/>
        <v>Leeds</v>
      </c>
      <c r="C62" s="505">
        <f>IF(J62="","",INDEX(Odds!C:C,MATCH(J62,Odds!G:G,0)))</f>
        <v>6</v>
      </c>
      <c r="D62" s="434">
        <f t="shared" si="7"/>
        <v>1.6153846153846154</v>
      </c>
      <c r="E62" s="452" t="str">
        <f t="shared" si="3"/>
        <v>x</v>
      </c>
      <c r="F62" s="375">
        <f>IF(J62="",-10,INDEX(Results!T:T,MATCH(A62,Results!V:V,0)))</f>
        <v>-4.8499999999999996</v>
      </c>
      <c r="G62" s="186">
        <f>IF(J62="","",INDEX(Results!AI:AI,MATCH(A62,Results!V:V,0)))</f>
        <v>16.715384615384615</v>
      </c>
      <c r="H62" s="204">
        <f>IF(G62="",0,1)</f>
        <v>1</v>
      </c>
      <c r="I62" s="372">
        <f>INDEX(Picks!AG:AG,MATCH(A62,Picks!AD:AD,0))</f>
        <v>23</v>
      </c>
      <c r="J62" s="435" t="s">
        <v>618</v>
      </c>
      <c r="K62" s="187" t="str">
        <f>INDEX(Odds!H:H,MATCH(J62,Odds!G:G,0))</f>
        <v>8/13</v>
      </c>
      <c r="L62" s="436">
        <f>INDEX(Odds!I:I,MATCH(J62,Odds!G:G,0))</f>
        <v>1.6153846153846154</v>
      </c>
      <c r="M62" s="450">
        <f>INDEX(Odds!J:J,MATCH(J62,Odds!G:G,0))</f>
        <v>0</v>
      </c>
      <c r="N62" s="438">
        <f t="shared" ref="N62:N97" si="8">L62*M62</f>
        <v>0</v>
      </c>
      <c r="O62" s="561"/>
      <c r="P62" s="58"/>
      <c r="R62" s="35" t="str">
        <f>IF(Odds!G62="","",Odds!G62)</f>
        <v>Exeter draw</v>
      </c>
      <c r="S62" s="36" t="str">
        <f>INDEX(Odds!H:H,MATCH(R62,Odds!G:G,0))</f>
        <v>12/5</v>
      </c>
      <c r="T62" s="40">
        <f t="shared" si="5"/>
        <v>1</v>
      </c>
      <c r="AB62" s="565" t="str">
        <f>IF(O62="","",INDEX(Odds!H:H,MATCH(O62,Odds!G:G,0)))</f>
        <v/>
      </c>
      <c r="AC62" s="586">
        <f>IF(J62="","",INDEX(Odds!K:K,MATCH(J62,Odds!G:G,0)))</f>
        <v>1</v>
      </c>
      <c r="AD62" s="58"/>
      <c r="AE62" s="58"/>
      <c r="AF62" s="431"/>
      <c r="AG62" s="58"/>
    </row>
    <row r="63" spans="1:38">
      <c r="A63" s="623" t="str">
        <f>A62</f>
        <v>Frank Allen</v>
      </c>
      <c r="B63" s="439" t="str">
        <f>IF(J63="","",J63)</f>
        <v>Fleetwood</v>
      </c>
      <c r="C63" s="505">
        <f>IF(J63="","",INDEX(Odds!C:C,MATCH(J63,Odds!G:G,0)))</f>
        <v>6</v>
      </c>
      <c r="D63" s="440">
        <f>IF(J63="","",L63)</f>
        <v>2</v>
      </c>
      <c r="E63" s="453" t="str">
        <f>IF(J63="","",IF(M63=1,"√","x"))</f>
        <v>x</v>
      </c>
      <c r="F63" s="441"/>
      <c r="G63" s="442"/>
      <c r="H63" s="204"/>
      <c r="I63" s="373"/>
      <c r="J63" s="435" t="s">
        <v>624</v>
      </c>
      <c r="K63" s="188" t="str">
        <f>INDEX(Odds!H:H,MATCH(J63,Odds!G:G,0))</f>
        <v>1/1</v>
      </c>
      <c r="L63" s="443">
        <f>INDEX(Odds!I:I,MATCH(J63,Odds!G:G,0))</f>
        <v>2</v>
      </c>
      <c r="M63" s="437">
        <f>INDEX(Odds!J:J,MATCH(J63,Odds!G:G,0))</f>
        <v>0</v>
      </c>
      <c r="N63" s="438">
        <f t="shared" si="8"/>
        <v>0</v>
      </c>
      <c r="O63" s="561"/>
      <c r="P63" s="58"/>
      <c r="R63" s="35" t="str">
        <f>IF(Odds!G63="","",Odds!G63)</f>
        <v>Fleetwood draw</v>
      </c>
      <c r="S63" s="36" t="str">
        <f>INDEX(Odds!H:H,MATCH(R63,Odds!G:G,0))</f>
        <v>5/2</v>
      </c>
      <c r="T63" s="40">
        <f t="shared" si="5"/>
        <v>0</v>
      </c>
      <c r="AB63" s="565" t="str">
        <f>IF(O63="","",INDEX(Odds!H:H,MATCH(O63,Odds!G:G,0)))</f>
        <v/>
      </c>
      <c r="AC63" s="586">
        <f>IF(J63="","",INDEX(Odds!K:K,MATCH(J63,Odds!G:G,0)))</f>
        <v>1</v>
      </c>
      <c r="AD63" s="58"/>
      <c r="AE63" s="58"/>
      <c r="AF63" s="431"/>
      <c r="AG63" s="58"/>
    </row>
    <row r="64" spans="1:38" ht="13.5" thickBot="1">
      <c r="A64" s="624" t="str">
        <f>A62</f>
        <v>Frank Allen</v>
      </c>
      <c r="B64" s="444" t="str">
        <f t="shared" si="6"/>
        <v>Portsmouth</v>
      </c>
      <c r="C64" s="506">
        <f>IF(J64="","",INDEX(Odds!C:C,MATCH(J64,Odds!G:G,0)))</f>
        <v>6</v>
      </c>
      <c r="D64" s="445">
        <f t="shared" si="7"/>
        <v>2.15</v>
      </c>
      <c r="E64" s="453" t="str">
        <f t="shared" si="3"/>
        <v>√</v>
      </c>
      <c r="F64" s="441"/>
      <c r="G64" s="442"/>
      <c r="H64" s="204"/>
      <c r="I64" s="373"/>
      <c r="J64" s="446" t="s">
        <v>415</v>
      </c>
      <c r="K64" s="189" t="str">
        <f>INDEX(Odds!H:H,MATCH(J64,Odds!G:G,0))</f>
        <v>23/20</v>
      </c>
      <c r="L64" s="447">
        <f>INDEX(Odds!I:I,MATCH(J64,Odds!G:G,0))</f>
        <v>2.15</v>
      </c>
      <c r="M64" s="437">
        <f>INDEX(Odds!J:J,MATCH(J64,Odds!G:G,0))</f>
        <v>1</v>
      </c>
      <c r="N64" s="448">
        <f t="shared" si="8"/>
        <v>2.15</v>
      </c>
      <c r="O64" s="562"/>
      <c r="P64" s="58"/>
      <c r="R64" s="35" t="str">
        <f>IF(Odds!G64="","",Odds!G64)</f>
        <v>Lincoln draw</v>
      </c>
      <c r="S64" s="36" t="str">
        <f>INDEX(Odds!H:H,MATCH(R64,Odds!G:G,0))</f>
        <v>23/10</v>
      </c>
      <c r="T64" s="40">
        <f t="shared" si="5"/>
        <v>0</v>
      </c>
      <c r="AB64" s="566" t="str">
        <f>IF(O64="","",INDEX(Odds!H:H,MATCH(O64,Odds!G:G,0)))</f>
        <v/>
      </c>
      <c r="AC64" s="587">
        <f>IF(J64="","",INDEX(Odds!K:K,MATCH(J64,Odds!G:G,0)))</f>
        <v>1</v>
      </c>
      <c r="AD64" s="58"/>
      <c r="AE64" s="58"/>
      <c r="AF64" s="431"/>
      <c r="AG64" s="58"/>
    </row>
    <row r="65" spans="1:33" ht="13.9" thickTop="1" thickBot="1">
      <c r="A65" s="433" t="str">
        <f>Results!B65</f>
        <v>Gareth Powell</v>
      </c>
      <c r="B65" s="449" t="str">
        <f t="shared" si="6"/>
        <v>Man U</v>
      </c>
      <c r="C65" s="505">
        <f>IF(J65="","",INDEX(Odds!C:C,MATCH(J65,Odds!G:G,0)))</f>
        <v>7</v>
      </c>
      <c r="D65" s="434">
        <f t="shared" si="7"/>
        <v>2.2000000000000002</v>
      </c>
      <c r="E65" s="452" t="str">
        <f t="shared" si="3"/>
        <v>x</v>
      </c>
      <c r="F65" s="375">
        <f>IF(J65="",-10,INDEX(Results!T:T,MATCH(A65,Results!V:V,0)))</f>
        <v>14</v>
      </c>
      <c r="G65" s="186">
        <f>IF(J65="","",INDEX(Results!AI:AI,MATCH(A65,Results!V:V,0)))</f>
        <v>62.400000000000006</v>
      </c>
      <c r="H65" s="204">
        <f>IF(G65="",0,1)</f>
        <v>1</v>
      </c>
      <c r="I65" s="372">
        <f>INDEX(Picks!AG:AG,MATCH(A65,Picks!AD:AD,0))</f>
        <v>2</v>
      </c>
      <c r="J65" s="435" t="s">
        <v>640</v>
      </c>
      <c r="K65" s="187" t="str">
        <f>INDEX(Odds!H:H,MATCH(J65,Odds!G:G,0))</f>
        <v>6/5</v>
      </c>
      <c r="L65" s="436">
        <f>INDEX(Odds!I:I,MATCH(J65,Odds!G:G,0))</f>
        <v>2.2000000000000002</v>
      </c>
      <c r="M65" s="450">
        <f>INDEX(Odds!J:J,MATCH(J65,Odds!G:G,0))</f>
        <v>0</v>
      </c>
      <c r="N65" s="438">
        <f t="shared" si="8"/>
        <v>0</v>
      </c>
      <c r="O65" s="561"/>
      <c r="P65" s="58"/>
      <c r="R65" s="35" t="str">
        <f>IF(Odds!G65="","",Odds!G65)</f>
        <v>Peterborough draw</v>
      </c>
      <c r="S65" s="36" t="str">
        <f>INDEX(Odds!H:H,MATCH(R65,Odds!G:G,0))</f>
        <v>9/2</v>
      </c>
      <c r="T65" s="40">
        <f t="shared" si="5"/>
        <v>0</v>
      </c>
      <c r="AB65" s="565" t="str">
        <f>IF(O65="","",INDEX(Odds!H:H,MATCH(O65,Odds!G:G,0)))</f>
        <v/>
      </c>
      <c r="AC65" s="587">
        <f>IF(J65="","",INDEX(Odds!K:K,MATCH(J65,Odds!G:G,0)))</f>
        <v>1</v>
      </c>
      <c r="AD65" s="58"/>
      <c r="AE65" s="58"/>
      <c r="AF65" s="431"/>
      <c r="AG65" s="58"/>
    </row>
    <row r="66" spans="1:33">
      <c r="A66" s="623" t="str">
        <f>A65</f>
        <v>Gareth Powell</v>
      </c>
      <c r="B66" s="439" t="str">
        <f t="shared" si="6"/>
        <v>Forest draw</v>
      </c>
      <c r="C66" s="505">
        <f>IF(J66="","",INDEX(Odds!C:C,MATCH(J66,Odds!G:G,0)))</f>
        <v>7</v>
      </c>
      <c r="D66" s="440">
        <f t="shared" si="7"/>
        <v>3.4</v>
      </c>
      <c r="E66" s="453" t="str">
        <f t="shared" si="3"/>
        <v>√</v>
      </c>
      <c r="F66" s="441"/>
      <c r="G66" s="442"/>
      <c r="H66" s="204"/>
      <c r="I66" s="373"/>
      <c r="J66" s="435" t="s">
        <v>660</v>
      </c>
      <c r="K66" s="188" t="str">
        <f>INDEX(Odds!H:H,MATCH(J66,Odds!G:G,0))</f>
        <v>12/5</v>
      </c>
      <c r="L66" s="443">
        <f>INDEX(Odds!I:I,MATCH(J66,Odds!G:G,0))</f>
        <v>3.4</v>
      </c>
      <c r="M66" s="437">
        <f>INDEX(Odds!J:J,MATCH(J66,Odds!G:G,0))</f>
        <v>1</v>
      </c>
      <c r="N66" s="438">
        <f t="shared" si="8"/>
        <v>3.4</v>
      </c>
      <c r="O66" s="561"/>
      <c r="P66" s="58"/>
      <c r="R66" s="35" t="str">
        <f>IF(Odds!G66="","",Odds!G66)</f>
        <v>Port Vale draw</v>
      </c>
      <c r="S66" s="36" t="str">
        <f>INDEX(Odds!H:H,MATCH(R66,Odds!G:G,0))</f>
        <v>12/5</v>
      </c>
      <c r="T66" s="40">
        <f t="shared" si="5"/>
        <v>0</v>
      </c>
      <c r="AB66" s="565" t="str">
        <f>IF(O66="","",INDEX(Odds!H:H,MATCH(O66,Odds!G:G,0)))</f>
        <v/>
      </c>
      <c r="AC66" s="587">
        <f>IF(J66="","",INDEX(Odds!K:K,MATCH(J66,Odds!G:G,0)))</f>
        <v>1</v>
      </c>
      <c r="AD66" s="58"/>
      <c r="AE66" s="58"/>
      <c r="AF66" s="431"/>
      <c r="AG66" s="58"/>
    </row>
    <row r="67" spans="1:33" ht="13.5" thickBot="1">
      <c r="A67" s="624" t="str">
        <f>A65</f>
        <v>Gareth Powell</v>
      </c>
      <c r="B67" s="444" t="str">
        <f t="shared" si="6"/>
        <v>Man C draw</v>
      </c>
      <c r="C67" s="506">
        <f>IF(J67="","",INDEX(Odds!C:C,MATCH(J67,Odds!G:G,0)))</f>
        <v>1</v>
      </c>
      <c r="D67" s="445">
        <f t="shared" si="7"/>
        <v>4</v>
      </c>
      <c r="E67" s="453" t="str">
        <f t="shared" ref="E67:E130" si="9">IF(J67="","",IF(M67=1,"√","x"))</f>
        <v>√</v>
      </c>
      <c r="F67" s="441"/>
      <c r="G67" s="442"/>
      <c r="H67" s="204"/>
      <c r="I67" s="373"/>
      <c r="J67" s="446" t="s">
        <v>659</v>
      </c>
      <c r="K67" s="189" t="str">
        <f>INDEX(Odds!H:H,MATCH(J67,Odds!G:G,0))</f>
        <v>3/1</v>
      </c>
      <c r="L67" s="447">
        <f>INDEX(Odds!I:I,MATCH(J67,Odds!G:G,0))</f>
        <v>4</v>
      </c>
      <c r="M67" s="437">
        <f>INDEX(Odds!J:J,MATCH(J67,Odds!G:G,0))</f>
        <v>1</v>
      </c>
      <c r="N67" s="448">
        <f t="shared" si="8"/>
        <v>4</v>
      </c>
      <c r="O67" s="562"/>
      <c r="P67" s="58"/>
      <c r="R67" s="35" t="str">
        <f>IF(Odds!G67="","",Odds!G67)</f>
        <v>Reading draw</v>
      </c>
      <c r="S67" s="36" t="str">
        <f>INDEX(Odds!H:H,MATCH(R67,Odds!G:G,0))</f>
        <v>14/5</v>
      </c>
      <c r="T67" s="40">
        <f t="shared" si="5"/>
        <v>0</v>
      </c>
      <c r="AB67" s="566" t="str">
        <f>IF(O67="","",INDEX(Odds!H:H,MATCH(O67,Odds!G:G,0)))</f>
        <v/>
      </c>
      <c r="AC67" s="587">
        <f>IF(J67="","",INDEX(Odds!K:K,MATCH(J67,Odds!G:G,0)))</f>
        <v>1</v>
      </c>
      <c r="AD67" s="58"/>
      <c r="AE67" s="58"/>
      <c r="AF67" s="431"/>
      <c r="AG67" s="58"/>
    </row>
    <row r="68" spans="1:33" ht="13.9" thickTop="1" thickBot="1">
      <c r="A68" s="433" t="str">
        <f>Results!B68</f>
        <v>Gerard Ventom</v>
      </c>
      <c r="B68" s="449" t="str">
        <f t="shared" si="6"/>
        <v>Coventry</v>
      </c>
      <c r="C68" s="505">
        <f>IF(J68="","",INDEX(Odds!C:C,MATCH(J68,Odds!G:G,0)))</f>
        <v>6</v>
      </c>
      <c r="D68" s="434">
        <f t="shared" si="7"/>
        <v>2.375</v>
      </c>
      <c r="E68" s="452" t="str">
        <f t="shared" si="9"/>
        <v>√</v>
      </c>
      <c r="F68" s="375">
        <f>IF(J68="",-10,INDEX(Results!T:T,MATCH(A68,Results!V:V,0)))</f>
        <v>62.2</v>
      </c>
      <c r="G68" s="186">
        <f>IF(J68="","",INDEX(Results!AI:AI,MATCH(A68,Results!V:V,0)))</f>
        <v>62.2</v>
      </c>
      <c r="H68" s="204">
        <f>IF(G68="",0,1)</f>
        <v>1</v>
      </c>
      <c r="I68" s="372">
        <f>INDEX(Picks!AG:AG,MATCH(A68,Picks!AD:AD,0))</f>
        <v>1</v>
      </c>
      <c r="J68" s="435" t="s">
        <v>604</v>
      </c>
      <c r="K68" s="187" t="str">
        <f>INDEX(Odds!H:H,MATCH(J68,Odds!G:G,0))</f>
        <v>11/8</v>
      </c>
      <c r="L68" s="436">
        <f>INDEX(Odds!I:I,MATCH(J68,Odds!G:G,0))</f>
        <v>2.375</v>
      </c>
      <c r="M68" s="450">
        <f>INDEX(Odds!J:J,MATCH(J68,Odds!G:G,0))</f>
        <v>1</v>
      </c>
      <c r="N68" s="438">
        <f t="shared" si="8"/>
        <v>2.375</v>
      </c>
      <c r="O68" s="561"/>
      <c r="P68" s="58"/>
      <c r="R68" s="35" t="str">
        <f>IF(Odds!G68="","",Odds!G68)</f>
        <v>Shrewsbury draw</v>
      </c>
      <c r="S68" s="36" t="str">
        <f>INDEX(Odds!H:H,MATCH(R68,Odds!G:G,0))</f>
        <v>5/2</v>
      </c>
      <c r="T68" s="40">
        <f t="shared" si="5"/>
        <v>1</v>
      </c>
      <c r="AB68" s="565" t="str">
        <f>IF(O68="","",INDEX(Odds!H:H,MATCH(O68,Odds!G:G,0)))</f>
        <v/>
      </c>
      <c r="AC68" s="587">
        <f>IF(J68="","",INDEX(Odds!K:K,MATCH(J68,Odds!G:G,0)))</f>
        <v>1</v>
      </c>
      <c r="AD68" s="58"/>
      <c r="AE68" s="58"/>
      <c r="AF68" s="431"/>
      <c r="AG68" s="58"/>
    </row>
    <row r="69" spans="1:33">
      <c r="A69" s="623" t="str">
        <f>A68</f>
        <v>Gerard Ventom</v>
      </c>
      <c r="B69" s="439" t="str">
        <f t="shared" si="6"/>
        <v>Millwall draw</v>
      </c>
      <c r="C69" s="505">
        <f>IF(J69="","",INDEX(Odds!C:C,MATCH(J69,Odds!G:G,0)))</f>
        <v>6</v>
      </c>
      <c r="D69" s="440">
        <f t="shared" si="7"/>
        <v>3</v>
      </c>
      <c r="E69" s="453" t="str">
        <f t="shared" si="9"/>
        <v>√</v>
      </c>
      <c r="F69" s="441"/>
      <c r="G69" s="442"/>
      <c r="H69" s="204"/>
      <c r="I69" s="373"/>
      <c r="J69" s="435" t="s">
        <v>662</v>
      </c>
      <c r="K69" s="188" t="str">
        <f>INDEX(Odds!H:H,MATCH(J69,Odds!G:G,0))</f>
        <v>2/1</v>
      </c>
      <c r="L69" s="443">
        <f>INDEX(Odds!I:I,MATCH(J69,Odds!G:G,0))</f>
        <v>3</v>
      </c>
      <c r="M69" s="437">
        <f>INDEX(Odds!J:J,MATCH(J69,Odds!G:G,0))</f>
        <v>1</v>
      </c>
      <c r="N69" s="438">
        <f t="shared" si="8"/>
        <v>3</v>
      </c>
      <c r="O69" s="561"/>
      <c r="P69" s="58"/>
      <c r="R69" s="35" t="str">
        <f>IF(Odds!G69="","",Odds!G69)</f>
        <v>Stevenage draw</v>
      </c>
      <c r="S69" s="36" t="str">
        <f>INDEX(Odds!H:H,MATCH(R69,Odds!G:G,0))</f>
        <v>9/4</v>
      </c>
      <c r="T69" s="40">
        <f t="shared" si="5"/>
        <v>1</v>
      </c>
      <c r="AB69" s="565" t="str">
        <f>IF(O69="","",INDEX(Odds!H:H,MATCH(O69,Odds!G:G,0)))</f>
        <v/>
      </c>
      <c r="AC69" s="587">
        <f>IF(J69="","",INDEX(Odds!K:K,MATCH(J69,Odds!G:G,0)))</f>
        <v>1</v>
      </c>
      <c r="AD69" s="58"/>
      <c r="AE69" s="58"/>
      <c r="AF69" s="431"/>
      <c r="AG69" s="58"/>
    </row>
    <row r="70" spans="1:33" ht="13.5" thickBot="1">
      <c r="A70" s="624" t="str">
        <f>A68</f>
        <v>Gerard Ventom</v>
      </c>
      <c r="B70" s="444" t="str">
        <f t="shared" si="6"/>
        <v>Southampton draw</v>
      </c>
      <c r="C70" s="506">
        <f>IF(J70="","",INDEX(Odds!C:C,MATCH(J70,Odds!G:G,0)))</f>
        <v>6</v>
      </c>
      <c r="D70" s="445">
        <f t="shared" si="7"/>
        <v>4.2</v>
      </c>
      <c r="E70" s="453" t="str">
        <f t="shared" si="9"/>
        <v>√</v>
      </c>
      <c r="F70" s="441"/>
      <c r="G70" s="442"/>
      <c r="H70" s="204"/>
      <c r="I70" s="373"/>
      <c r="J70" s="446" t="s">
        <v>663</v>
      </c>
      <c r="K70" s="189" t="str">
        <f>INDEX(Odds!H:H,MATCH(J70,Odds!G:G,0))</f>
        <v>16/5</v>
      </c>
      <c r="L70" s="447">
        <f>INDEX(Odds!I:I,MATCH(J70,Odds!G:G,0))</f>
        <v>4.2</v>
      </c>
      <c r="M70" s="437">
        <f>INDEX(Odds!J:J,MATCH(J70,Odds!G:G,0))</f>
        <v>1</v>
      </c>
      <c r="N70" s="448">
        <f t="shared" si="8"/>
        <v>4.2</v>
      </c>
      <c r="O70" s="562"/>
      <c r="P70" s="58"/>
      <c r="R70" s="35" t="str">
        <f>IF(Odds!G70="","",Odds!G70)</f>
        <v>Wigan draw</v>
      </c>
      <c r="S70" s="36" t="str">
        <f>INDEX(Odds!H:H,MATCH(R70,Odds!G:G,0))</f>
        <v>12/5</v>
      </c>
      <c r="T70" s="40">
        <f t="shared" si="5"/>
        <v>1</v>
      </c>
      <c r="AB70" s="566" t="str">
        <f>IF(O70="","",INDEX(Odds!H:H,MATCH(O70,Odds!G:G,0)))</f>
        <v/>
      </c>
      <c r="AC70" s="587">
        <f>IF(J70="","",INDEX(Odds!K:K,MATCH(J70,Odds!G:G,0)))</f>
        <v>1</v>
      </c>
      <c r="AD70" s="58"/>
      <c r="AE70" s="58"/>
      <c r="AF70" s="431"/>
      <c r="AG70" s="58"/>
    </row>
    <row r="71" spans="1:33" ht="13.9" thickTop="1" thickBot="1">
      <c r="A71" s="433" t="str">
        <f>Results!B71</f>
        <v>Graham Miller</v>
      </c>
      <c r="B71" s="449" t="str">
        <f>IF(J71="","",J71)</f>
        <v>Newcastle</v>
      </c>
      <c r="C71" s="505">
        <f>IF(J71="","",INDEX(Odds!C:C,MATCH(J71,Odds!G:G,0)))</f>
        <v>7</v>
      </c>
      <c r="D71" s="434">
        <f>IF(J71="","",L71)</f>
        <v>1.85</v>
      </c>
      <c r="E71" s="452" t="str">
        <f>IF(J71="","",IF(M71=1,"√","x"))</f>
        <v>√</v>
      </c>
      <c r="F71" s="375">
        <f>IF(J71="",-10,INDEX(Results!T:T,MATCH(A71,Results!V:V,0)))</f>
        <v>0.83500000000000085</v>
      </c>
      <c r="G71" s="186">
        <f>IF(J71="","",INDEX(Results!AI:AI,MATCH(A71,Results!V:V,0)))</f>
        <v>26.456499999999998</v>
      </c>
      <c r="H71" s="204">
        <f>IF(G71="",0,1)</f>
        <v>1</v>
      </c>
      <c r="I71" s="372">
        <f>INDEX(Picks!AG:AG,MATCH(A71,Picks!AD:AD,0))</f>
        <v>9</v>
      </c>
      <c r="J71" s="435" t="s">
        <v>644</v>
      </c>
      <c r="K71" s="187" t="str">
        <f>INDEX(Odds!H:H,MATCH(J71,Odds!G:G,0))</f>
        <v>17/20</v>
      </c>
      <c r="L71" s="436">
        <f>INDEX(Odds!I:I,MATCH(J71,Odds!G:G,0))</f>
        <v>1.85</v>
      </c>
      <c r="M71" s="450">
        <f>INDEX(Odds!J:J,MATCH(J71,Odds!G:G,0))</f>
        <v>1</v>
      </c>
      <c r="N71" s="438">
        <f t="shared" si="8"/>
        <v>1.85</v>
      </c>
      <c r="O71" s="561"/>
      <c r="P71" s="58"/>
      <c r="R71" s="35" t="str">
        <f>IF(Odds!G71="","",Odds!G71)</f>
        <v>Wycombe draw</v>
      </c>
      <c r="S71" s="36" t="str">
        <f>INDEX(Odds!H:H,MATCH(R71,Odds!G:G,0))</f>
        <v>12/5</v>
      </c>
      <c r="T71" s="40">
        <f t="shared" si="5"/>
        <v>0</v>
      </c>
      <c r="AB71" s="565" t="str">
        <f>IF(O71="","",INDEX(Odds!H:H,MATCH(O71,Odds!G:G,0)))</f>
        <v/>
      </c>
      <c r="AC71" s="587">
        <f>IF(J71="","",INDEX(Odds!K:K,MATCH(J71,Odds!G:G,0)))</f>
        <v>1</v>
      </c>
      <c r="AD71" s="58"/>
      <c r="AE71" s="58"/>
      <c r="AF71" s="431"/>
      <c r="AG71" s="58"/>
    </row>
    <row r="72" spans="1:33">
      <c r="A72" s="623" t="str">
        <f>A71</f>
        <v>Graham Miller</v>
      </c>
      <c r="B72" s="439" t="str">
        <f t="shared" si="6"/>
        <v>Bournemouth</v>
      </c>
      <c r="C72" s="505">
        <f>IF(J72="","",INDEX(Odds!C:C,MATCH(J72,Odds!G:G,0)))</f>
        <v>7</v>
      </c>
      <c r="D72" s="440">
        <f t="shared" si="7"/>
        <v>2.1</v>
      </c>
      <c r="E72" s="453" t="str">
        <f t="shared" si="9"/>
        <v>√</v>
      </c>
      <c r="F72" s="441"/>
      <c r="G72" s="442"/>
      <c r="H72" s="204"/>
      <c r="I72" s="373"/>
      <c r="J72" s="435" t="s">
        <v>637</v>
      </c>
      <c r="K72" s="188" t="str">
        <f>INDEX(Odds!H:H,MATCH(J72,Odds!G:G,0))</f>
        <v>11/10</v>
      </c>
      <c r="L72" s="443">
        <f>INDEX(Odds!I:I,MATCH(J72,Odds!G:G,0))</f>
        <v>2.1</v>
      </c>
      <c r="M72" s="437">
        <f>INDEX(Odds!J:J,MATCH(J72,Odds!G:G,0))</f>
        <v>1</v>
      </c>
      <c r="N72" s="438">
        <f t="shared" si="8"/>
        <v>2.1</v>
      </c>
      <c r="O72" s="561"/>
      <c r="P72" s="58"/>
      <c r="R72" s="35" t="str">
        <f>IF(Odds!G72="","",Odds!G72)</f>
        <v>Accrington draw</v>
      </c>
      <c r="S72" s="36" t="str">
        <f>INDEX(Odds!H:H,MATCH(R72,Odds!G:G,0))</f>
        <v>13/5</v>
      </c>
      <c r="T72" s="40">
        <f t="shared" si="5"/>
        <v>0</v>
      </c>
      <c r="AB72" s="565" t="str">
        <f>IF(O72="","",INDEX(Odds!H:H,MATCH(O72,Odds!G:G,0)))</f>
        <v/>
      </c>
      <c r="AC72" s="587">
        <f>IF(J72="","",INDEX(Odds!K:K,MATCH(J72,Odds!G:G,0)))</f>
        <v>1</v>
      </c>
      <c r="AD72" s="58"/>
      <c r="AE72" s="58"/>
      <c r="AF72" s="431"/>
      <c r="AG72" s="58"/>
    </row>
    <row r="73" spans="1:33" ht="13.5" thickBot="1">
      <c r="A73" s="624" t="str">
        <f>A71</f>
        <v>Graham Miller</v>
      </c>
      <c r="B73" s="444" t="str">
        <f t="shared" si="6"/>
        <v>Brentford</v>
      </c>
      <c r="C73" s="506">
        <f>IF(J73="","",INDEX(Odds!C:C,MATCH(J73,Odds!G:G,0)))</f>
        <v>7</v>
      </c>
      <c r="D73" s="445">
        <f t="shared" si="7"/>
        <v>2.9</v>
      </c>
      <c r="E73" s="453" t="str">
        <f t="shared" si="9"/>
        <v>x</v>
      </c>
      <c r="F73" s="441"/>
      <c r="G73" s="442"/>
      <c r="H73" s="204"/>
      <c r="I73" s="373"/>
      <c r="J73" s="446" t="s">
        <v>639</v>
      </c>
      <c r="K73" s="189" t="str">
        <f>INDEX(Odds!H:H,MATCH(J73,Odds!G:G,0))</f>
        <v>19/10</v>
      </c>
      <c r="L73" s="447">
        <f>INDEX(Odds!I:I,MATCH(J73,Odds!G:G,0))</f>
        <v>2.9</v>
      </c>
      <c r="M73" s="437">
        <f>INDEX(Odds!J:J,MATCH(J73,Odds!G:G,0))</f>
        <v>0</v>
      </c>
      <c r="N73" s="448">
        <f t="shared" si="8"/>
        <v>0</v>
      </c>
      <c r="O73" s="562"/>
      <c r="P73" s="58"/>
      <c r="R73" s="35" t="str">
        <f>IF(Odds!G73="","",Odds!G73)</f>
        <v>Barrow draw</v>
      </c>
      <c r="S73" s="36" t="str">
        <f>INDEX(Odds!H:H,MATCH(R73,Odds!G:G,0))</f>
        <v>12/5</v>
      </c>
      <c r="T73" s="40">
        <f t="shared" si="5"/>
        <v>0</v>
      </c>
      <c r="AB73" s="566" t="str">
        <f>IF(O73="","",INDEX(Odds!H:H,MATCH(O73,Odds!G:G,0)))</f>
        <v/>
      </c>
      <c r="AC73" s="587">
        <f>IF(J73="","",INDEX(Odds!K:K,MATCH(J73,Odds!G:G,0)))</f>
        <v>1</v>
      </c>
      <c r="AD73" s="58"/>
      <c r="AE73" s="58"/>
      <c r="AF73" s="431"/>
      <c r="AG73" s="58"/>
    </row>
    <row r="74" spans="1:33" ht="13.9" thickTop="1" thickBot="1">
      <c r="A74" s="433" t="str">
        <f>Results!B74</f>
        <v>Howard Bradley</v>
      </c>
      <c r="B74" s="449" t="str">
        <f t="shared" si="6"/>
        <v>Leicester</v>
      </c>
      <c r="C74" s="505">
        <f>IF(J74="","",INDEX(Odds!C:C,MATCH(J74,Odds!G:G,0)))</f>
        <v>6</v>
      </c>
      <c r="D74" s="434">
        <f t="shared" si="7"/>
        <v>1.8</v>
      </c>
      <c r="E74" s="452" t="str">
        <f t="shared" si="9"/>
        <v>x</v>
      </c>
      <c r="F74" s="375">
        <f>IF(J74="",-10,INDEX(Results!T:T,MATCH(A74,Results!V:V,0)))</f>
        <v>-5</v>
      </c>
      <c r="G74" s="186">
        <f>IF(J74="","",INDEX(Results!AI:AI,MATCH(A74,Results!V:V,0)))</f>
        <v>16.436363636363637</v>
      </c>
      <c r="H74" s="204">
        <f>IF(G74="",0,1)</f>
        <v>1</v>
      </c>
      <c r="I74" s="372">
        <f>INDEX(Picks!AG:AG,MATCH(A74,Picks!AD:AD,0))</f>
        <v>27</v>
      </c>
      <c r="J74" s="435" t="s">
        <v>601</v>
      </c>
      <c r="K74" s="187" t="str">
        <f>INDEX(Odds!H:H,MATCH(J74,Odds!G:G,0))</f>
        <v>4/5</v>
      </c>
      <c r="L74" s="436">
        <f>INDEX(Odds!I:I,MATCH(J74,Odds!G:G,0))</f>
        <v>1.8</v>
      </c>
      <c r="M74" s="450">
        <f>INDEX(Odds!J:J,MATCH(J74,Odds!G:G,0))</f>
        <v>0</v>
      </c>
      <c r="N74" s="438">
        <f t="shared" si="8"/>
        <v>0</v>
      </c>
      <c r="O74" s="561"/>
      <c r="P74" s="58"/>
      <c r="R74" s="35" t="str">
        <f>IF(Odds!G74="","",Odds!G74)</f>
        <v>Bradford draw</v>
      </c>
      <c r="S74" s="36" t="str">
        <f>INDEX(Odds!H:H,MATCH(R74,Odds!G:G,0))</f>
        <v>5/2</v>
      </c>
      <c r="T74" s="40">
        <f t="shared" si="5"/>
        <v>0</v>
      </c>
      <c r="AB74" s="565" t="str">
        <f>IF(O74="","",INDEX(Odds!H:H,MATCH(O74,Odds!G:G,0)))</f>
        <v/>
      </c>
      <c r="AC74" s="587">
        <f>IF(J74="","",INDEX(Odds!K:K,MATCH(J74,Odds!G:G,0)))</f>
        <v>1</v>
      </c>
      <c r="AD74" s="58"/>
      <c r="AE74" s="58"/>
      <c r="AF74" s="431"/>
      <c r="AG74" s="58"/>
    </row>
    <row r="75" spans="1:33">
      <c r="A75" s="623" t="str">
        <f>A74</f>
        <v>Howard Bradley</v>
      </c>
      <c r="B75" s="439" t="str">
        <f t="shared" si="6"/>
        <v>Hull</v>
      </c>
      <c r="C75" s="505">
        <f>IF(J75="","",INDEX(Odds!C:C,MATCH(J75,Odds!G:G,0)))</f>
        <v>6</v>
      </c>
      <c r="D75" s="440">
        <f t="shared" si="7"/>
        <v>1.9090909090909092</v>
      </c>
      <c r="E75" s="453" t="str">
        <f t="shared" si="9"/>
        <v>x</v>
      </c>
      <c r="F75" s="441"/>
      <c r="G75" s="442"/>
      <c r="H75" s="204"/>
      <c r="I75" s="373"/>
      <c r="J75" s="435" t="s">
        <v>605</v>
      </c>
      <c r="K75" s="188" t="str">
        <f>INDEX(Odds!H:H,MATCH(J75,Odds!G:G,0))</f>
        <v>10/11</v>
      </c>
      <c r="L75" s="443">
        <f>INDEX(Odds!I:I,MATCH(J75,Odds!G:G,0))</f>
        <v>1.9090909090909092</v>
      </c>
      <c r="M75" s="437">
        <f>INDEX(Odds!J:J,MATCH(J75,Odds!G:G,0))</f>
        <v>0</v>
      </c>
      <c r="N75" s="438">
        <f t="shared" si="8"/>
        <v>0</v>
      </c>
      <c r="O75" s="561"/>
      <c r="P75" s="58"/>
      <c r="R75" s="35" t="str">
        <f>IF(Odds!G75="","",Odds!G75)</f>
        <v>Colchester draw</v>
      </c>
      <c r="S75" s="36" t="str">
        <f>INDEX(Odds!H:H,MATCH(R75,Odds!G:G,0))</f>
        <v>13/5</v>
      </c>
      <c r="T75" s="40">
        <f t="shared" si="5"/>
        <v>0</v>
      </c>
      <c r="AB75" s="565" t="str">
        <f>IF(O75="","",INDEX(Odds!H:H,MATCH(O75,Odds!G:G,0)))</f>
        <v/>
      </c>
      <c r="AC75" s="587">
        <f>IF(J75="","",INDEX(Odds!K:K,MATCH(J75,Odds!G:G,0)))</f>
        <v>1</v>
      </c>
      <c r="AD75" s="58"/>
      <c r="AE75" s="58"/>
      <c r="AF75" s="431"/>
      <c r="AG75" s="58"/>
    </row>
    <row r="76" spans="1:33" ht="13.5" thickBot="1">
      <c r="A76" s="624" t="str">
        <f>A74</f>
        <v>Howard Bradley</v>
      </c>
      <c r="B76" s="444" t="str">
        <f t="shared" si="6"/>
        <v>Lincoln</v>
      </c>
      <c r="C76" s="506">
        <f>IF(J76="","",INDEX(Odds!C:C,MATCH(J76,Odds!G:G,0)))</f>
        <v>6</v>
      </c>
      <c r="D76" s="445">
        <f t="shared" si="7"/>
        <v>2</v>
      </c>
      <c r="E76" s="453" t="str">
        <f t="shared" si="9"/>
        <v>√</v>
      </c>
      <c r="F76" s="441"/>
      <c r="G76" s="442"/>
      <c r="H76" s="204"/>
      <c r="I76" s="373"/>
      <c r="J76" s="446" t="s">
        <v>626</v>
      </c>
      <c r="K76" s="189" t="str">
        <f>INDEX(Odds!H:H,MATCH(J76,Odds!G:G,0))</f>
        <v>1/1</v>
      </c>
      <c r="L76" s="447">
        <f>INDEX(Odds!I:I,MATCH(J76,Odds!G:G,0))</f>
        <v>2</v>
      </c>
      <c r="M76" s="437">
        <f>INDEX(Odds!J:J,MATCH(J76,Odds!G:G,0))</f>
        <v>1</v>
      </c>
      <c r="N76" s="448">
        <f t="shared" si="8"/>
        <v>2</v>
      </c>
      <c r="O76" s="562"/>
      <c r="P76" s="58"/>
      <c r="R76" s="35" t="str">
        <f>IF(Odds!G76="","",Odds!G76)</f>
        <v>Crawley draw</v>
      </c>
      <c r="S76" s="36" t="str">
        <f>INDEX(Odds!H:H,MATCH(R76,Odds!G:G,0))</f>
        <v>13/5</v>
      </c>
      <c r="T76" s="40">
        <f t="shared" si="5"/>
        <v>0</v>
      </c>
      <c r="AB76" s="566" t="str">
        <f>IF(O76="","",INDEX(Odds!H:H,MATCH(O76,Odds!G:G,0)))</f>
        <v/>
      </c>
      <c r="AC76" s="587">
        <f>IF(J76="","",INDEX(Odds!K:K,MATCH(J76,Odds!G:G,0)))</f>
        <v>1</v>
      </c>
      <c r="AD76" s="58"/>
      <c r="AE76" s="58"/>
      <c r="AF76" s="431"/>
      <c r="AG76" s="58"/>
    </row>
    <row r="77" spans="1:33" ht="13.9" thickTop="1" thickBot="1">
      <c r="A77" s="433" t="str">
        <f>Results!B77</f>
        <v>Jack Walsh</v>
      </c>
      <c r="B77" s="449" t="str">
        <f t="shared" si="6"/>
        <v>Barrow</v>
      </c>
      <c r="C77" s="505">
        <f>IF(J77="","",INDEX(Odds!C:C,MATCH(J77,Odds!G:G,0)))</f>
        <v>6</v>
      </c>
      <c r="D77" s="434">
        <f t="shared" si="7"/>
        <v>1.95</v>
      </c>
      <c r="E77" s="452" t="str">
        <f t="shared" si="9"/>
        <v>√</v>
      </c>
      <c r="F77" s="375">
        <f>IF(J77="",-10,INDEX(Results!T:T,MATCH(A77,Results!V:V,0)))</f>
        <v>-0.52666666666666728</v>
      </c>
      <c r="G77" s="186">
        <f>IF(J77="","",INDEX(Results!AI:AI,MATCH(A77,Results!V:V,0)))</f>
        <v>12.925333333333334</v>
      </c>
      <c r="H77" s="204">
        <f>IF(G77="",0,1)</f>
        <v>1</v>
      </c>
      <c r="I77" s="372">
        <f>INDEX(Picks!AG:AG,MATCH(A77,Picks!AD:AD,0))</f>
        <v>13</v>
      </c>
      <c r="J77" s="435" t="s">
        <v>580</v>
      </c>
      <c r="K77" s="187" t="str">
        <f>INDEX(Odds!H:H,MATCH(J77,Odds!G:G,0))</f>
        <v>19/20</v>
      </c>
      <c r="L77" s="436">
        <f>INDEX(Odds!I:I,MATCH(J77,Odds!G:G,0))</f>
        <v>1.95</v>
      </c>
      <c r="M77" s="450">
        <f>INDEX(Odds!J:J,MATCH(J77,Odds!G:G,0))</f>
        <v>1</v>
      </c>
      <c r="N77" s="438">
        <f t="shared" si="8"/>
        <v>1.95</v>
      </c>
      <c r="O77" s="561"/>
      <c r="P77" s="58"/>
      <c r="R77" s="35" t="str">
        <f>IF(Odds!G77="","",Odds!G77)</f>
        <v>Forest Green draw</v>
      </c>
      <c r="S77" s="36" t="str">
        <f>INDEX(Odds!H:H,MATCH(R77,Odds!G:G,0))</f>
        <v>14/5</v>
      </c>
      <c r="T77" s="40">
        <f t="shared" si="5"/>
        <v>0</v>
      </c>
      <c r="AB77" s="565" t="str">
        <f>IF(O77="","",INDEX(Odds!H:H,MATCH(O77,Odds!G:G,0)))</f>
        <v/>
      </c>
      <c r="AC77" s="587">
        <f>IF(J77="","",INDEX(Odds!K:K,MATCH(J77,Odds!G:G,0)))</f>
        <v>1</v>
      </c>
      <c r="AD77" s="58"/>
      <c r="AE77" s="58"/>
      <c r="AF77" s="431"/>
      <c r="AG77" s="58"/>
    </row>
    <row r="78" spans="1:33">
      <c r="A78" s="623" t="str">
        <f>A77</f>
        <v>Jack Walsh</v>
      </c>
      <c r="B78" s="439" t="str">
        <f t="shared" si="6"/>
        <v>Preston</v>
      </c>
      <c r="C78" s="505">
        <f>IF(J78="","",INDEX(Odds!C:C,MATCH(J78,Odds!G:G,0)))</f>
        <v>6</v>
      </c>
      <c r="D78" s="440">
        <f t="shared" si="7"/>
        <v>1.5333333333333332</v>
      </c>
      <c r="E78" s="453" t="str">
        <f t="shared" si="9"/>
        <v>√</v>
      </c>
      <c r="F78" s="441"/>
      <c r="G78" s="442"/>
      <c r="H78" s="204"/>
      <c r="I78" s="373"/>
      <c r="J78" s="435" t="s">
        <v>517</v>
      </c>
      <c r="K78" s="188" t="str">
        <f>INDEX(Odds!H:H,MATCH(J78,Odds!G:G,0))</f>
        <v>8/15</v>
      </c>
      <c r="L78" s="443">
        <f>INDEX(Odds!I:I,MATCH(J78,Odds!G:G,0))</f>
        <v>1.5333333333333332</v>
      </c>
      <c r="M78" s="437">
        <f>INDEX(Odds!J:J,MATCH(J78,Odds!G:G,0))</f>
        <v>1</v>
      </c>
      <c r="N78" s="438">
        <f t="shared" si="8"/>
        <v>1.5333333333333332</v>
      </c>
      <c r="O78" s="561"/>
      <c r="P78" s="58"/>
      <c r="R78" s="35" t="str">
        <f>IF(Odds!G78="","",Odds!G78)</f>
        <v>Gillingham draw</v>
      </c>
      <c r="S78" s="36" t="str">
        <f>INDEX(Odds!H:H,MATCH(R78,Odds!G:G,0))</f>
        <v>5/2</v>
      </c>
      <c r="T78" s="40">
        <f t="shared" si="5"/>
        <v>1</v>
      </c>
      <c r="AB78" s="565" t="str">
        <f>IF(O78="","",INDEX(Odds!H:H,MATCH(O78,Odds!G:G,0)))</f>
        <v/>
      </c>
      <c r="AC78" s="587">
        <f>IF(J78="","",INDEX(Odds!K:K,MATCH(J78,Odds!G:G,0)))</f>
        <v>1</v>
      </c>
      <c r="AD78" s="58"/>
      <c r="AE78" s="58"/>
      <c r="AF78" s="431"/>
      <c r="AG78" s="58"/>
    </row>
    <row r="79" spans="1:33" ht="13.5" thickBot="1">
      <c r="A79" s="624" t="str">
        <f>A77</f>
        <v>Jack Walsh</v>
      </c>
      <c r="B79" s="444" t="str">
        <f t="shared" si="6"/>
        <v>Salford</v>
      </c>
      <c r="C79" s="506">
        <f>IF(J79="","",INDEX(Odds!C:C,MATCH(J79,Odds!G:G,0)))</f>
        <v>6</v>
      </c>
      <c r="D79" s="445">
        <f t="shared" si="7"/>
        <v>1.8</v>
      </c>
      <c r="E79" s="453" t="str">
        <f t="shared" si="9"/>
        <v>x</v>
      </c>
      <c r="F79" s="441"/>
      <c r="G79" s="442"/>
      <c r="H79" s="204"/>
      <c r="I79" s="373"/>
      <c r="J79" s="446" t="s">
        <v>555</v>
      </c>
      <c r="K79" s="189" t="str">
        <f>INDEX(Odds!H:H,MATCH(J79,Odds!G:G,0))</f>
        <v>4/5</v>
      </c>
      <c r="L79" s="447">
        <f>INDEX(Odds!I:I,MATCH(J79,Odds!G:G,0))</f>
        <v>1.8</v>
      </c>
      <c r="M79" s="437">
        <f>INDEX(Odds!J:J,MATCH(J79,Odds!G:G,0))</f>
        <v>0</v>
      </c>
      <c r="N79" s="448">
        <f t="shared" si="8"/>
        <v>0</v>
      </c>
      <c r="O79" s="562"/>
      <c r="P79" s="58"/>
      <c r="R79" s="35" t="str">
        <f>IF(Odds!G79="","",Odds!G79)</f>
        <v>MK Dons draw</v>
      </c>
      <c r="S79" s="36" t="str">
        <f>INDEX(Odds!H:H,MATCH(R79,Odds!G:G,0))</f>
        <v>27/10</v>
      </c>
      <c r="T79" s="40">
        <f t="shared" si="5"/>
        <v>0</v>
      </c>
      <c r="AB79" s="566" t="str">
        <f>IF(O79="","",INDEX(Odds!H:H,MATCH(O79,Odds!G:G,0)))</f>
        <v/>
      </c>
      <c r="AC79" s="587">
        <f>IF(J79="","",INDEX(Odds!K:K,MATCH(J79,Odds!G:G,0)))</f>
        <v>1</v>
      </c>
      <c r="AD79" s="58"/>
      <c r="AE79" s="58"/>
      <c r="AF79" s="431"/>
      <c r="AG79" s="58"/>
    </row>
    <row r="80" spans="1:33" ht="13.9" thickTop="1" thickBot="1">
      <c r="A80" s="433" t="str">
        <f>Results!B80</f>
        <v>John Murphy</v>
      </c>
      <c r="B80" s="449" t="str">
        <f t="shared" si="6"/>
        <v/>
      </c>
      <c r="C80" s="505" t="str">
        <f>IF(J80="","",INDEX(Odds!C:C,MATCH(J80,Odds!G:G,0)))</f>
        <v/>
      </c>
      <c r="D80" s="434" t="str">
        <f t="shared" si="7"/>
        <v/>
      </c>
      <c r="E80" s="452" t="str">
        <f t="shared" si="9"/>
        <v/>
      </c>
      <c r="F80" s="375">
        <f>IF(J80="",-10,INDEX(Results!T:T,MATCH(A80,Results!V:V,0)))</f>
        <v>-10</v>
      </c>
      <c r="G80" s="186" t="str">
        <f>IF(J80="","",INDEX(Results!AI:AI,MATCH(A80,Results!V:V,0)))</f>
        <v/>
      </c>
      <c r="H80" s="204">
        <f>IF(G80="",0,1)</f>
        <v>0</v>
      </c>
      <c r="I80" s="372" t="str">
        <f>INDEX(Picks!AG:AG,MATCH(A80,Picks!AD:AD,0))</f>
        <v/>
      </c>
      <c r="J80" s="435"/>
      <c r="K80" s="187" t="e">
        <f>INDEX(Odds!H:H,MATCH(J80,Odds!G:G,0))</f>
        <v>#N/A</v>
      </c>
      <c r="L80" s="436" t="e">
        <f>INDEX(Odds!I:I,MATCH(J80,Odds!G:G,0))</f>
        <v>#N/A</v>
      </c>
      <c r="M80" s="450" t="e">
        <f>INDEX(Odds!J:J,MATCH(J80,Odds!G:G,0))</f>
        <v>#N/A</v>
      </c>
      <c r="N80" s="438" t="e">
        <f t="shared" si="8"/>
        <v>#N/A</v>
      </c>
      <c r="O80" s="561"/>
      <c r="P80" s="58"/>
      <c r="R80" s="35" t="str">
        <f>IF(Odds!G80="","",Odds!G80)</f>
        <v>Salford draw</v>
      </c>
      <c r="S80" s="36" t="str">
        <f>INDEX(Odds!H:H,MATCH(R80,Odds!G:G,0))</f>
        <v>14/5</v>
      </c>
      <c r="T80" s="40">
        <f t="shared" si="5"/>
        <v>0</v>
      </c>
      <c r="AB80" s="565" t="str">
        <f>IF(O80="","",INDEX(Odds!H:H,MATCH(O80,Odds!G:G,0)))</f>
        <v/>
      </c>
      <c r="AC80" s="587" t="str">
        <f>IF(J80="","",INDEX(Odds!K:K,MATCH(J80,Odds!G:G,0)))</f>
        <v/>
      </c>
      <c r="AD80" s="58"/>
      <c r="AE80" s="58"/>
      <c r="AF80" s="431"/>
      <c r="AG80" s="58"/>
    </row>
    <row r="81" spans="1:33">
      <c r="A81" s="623" t="str">
        <f>A80</f>
        <v>John Murphy</v>
      </c>
      <c r="B81" s="439" t="str">
        <f t="shared" si="6"/>
        <v/>
      </c>
      <c r="C81" s="505" t="str">
        <f>IF(J81="","",INDEX(Odds!C:C,MATCH(J81,Odds!G:G,0)))</f>
        <v/>
      </c>
      <c r="D81" s="440" t="str">
        <f t="shared" si="7"/>
        <v/>
      </c>
      <c r="E81" s="453" t="str">
        <f t="shared" si="9"/>
        <v/>
      </c>
      <c r="F81" s="441"/>
      <c r="G81" s="442"/>
      <c r="H81" s="204"/>
      <c r="I81" s="373"/>
      <c r="J81" s="435"/>
      <c r="K81" s="188" t="e">
        <f>INDEX(Odds!H:H,MATCH(J81,Odds!G:G,0))</f>
        <v>#N/A</v>
      </c>
      <c r="L81" s="443" t="e">
        <f>INDEX(Odds!I:I,MATCH(J81,Odds!G:G,0))</f>
        <v>#N/A</v>
      </c>
      <c r="M81" s="437" t="e">
        <f>INDEX(Odds!J:J,MATCH(J81,Odds!G:G,0))</f>
        <v>#N/A</v>
      </c>
      <c r="N81" s="438" t="e">
        <f t="shared" si="8"/>
        <v>#N/A</v>
      </c>
      <c r="O81" s="561"/>
      <c r="P81" s="58"/>
      <c r="R81" s="35" t="str">
        <f>IF(Odds!G81="","",Odds!G81)</f>
        <v>Swindon draw</v>
      </c>
      <c r="S81" s="36" t="str">
        <f>INDEX(Odds!H:H,MATCH(R81,Odds!G:G,0))</f>
        <v>29/10</v>
      </c>
      <c r="T81" s="40">
        <f t="shared" si="5"/>
        <v>0</v>
      </c>
      <c r="AB81" s="565" t="str">
        <f>IF(O81="","",INDEX(Odds!H:H,MATCH(O81,Odds!G:G,0)))</f>
        <v/>
      </c>
      <c r="AC81" s="587" t="str">
        <f>IF(J81="","",INDEX(Odds!K:K,MATCH(J81,Odds!G:G,0)))</f>
        <v/>
      </c>
      <c r="AD81" s="58"/>
      <c r="AE81" s="58"/>
      <c r="AF81" s="431"/>
      <c r="AG81" s="58"/>
    </row>
    <row r="82" spans="1:33" ht="13.5" thickBot="1">
      <c r="A82" s="624" t="str">
        <f>A80</f>
        <v>John Murphy</v>
      </c>
      <c r="B82" s="444" t="str">
        <f t="shared" si="6"/>
        <v/>
      </c>
      <c r="C82" s="506" t="str">
        <f>IF(J82="","",INDEX(Odds!C:C,MATCH(J82,Odds!G:G,0)))</f>
        <v/>
      </c>
      <c r="D82" s="445" t="str">
        <f t="shared" si="7"/>
        <v/>
      </c>
      <c r="E82" s="453" t="str">
        <f t="shared" si="9"/>
        <v/>
      </c>
      <c r="F82" s="441"/>
      <c r="G82" s="442"/>
      <c r="H82" s="204"/>
      <c r="I82" s="373"/>
      <c r="J82" s="446"/>
      <c r="K82" s="189" t="e">
        <f>INDEX(Odds!H:H,MATCH(J82,Odds!G:G,0))</f>
        <v>#N/A</v>
      </c>
      <c r="L82" s="447" t="e">
        <f>INDEX(Odds!I:I,MATCH(J82,Odds!G:G,0))</f>
        <v>#N/A</v>
      </c>
      <c r="M82" s="437" t="e">
        <f>INDEX(Odds!J:J,MATCH(J82,Odds!G:G,0))</f>
        <v>#N/A</v>
      </c>
      <c r="N82" s="448" t="e">
        <f t="shared" si="8"/>
        <v>#N/A</v>
      </c>
      <c r="O82" s="562"/>
      <c r="P82" s="58"/>
      <c r="R82" s="35" t="str">
        <f>IF(Odds!G82="","",Odds!G82)</f>
        <v>Wimbledon draw</v>
      </c>
      <c r="S82" s="36" t="str">
        <f>INDEX(Odds!H:H,MATCH(R82,Odds!G:G,0))</f>
        <v>3/1</v>
      </c>
      <c r="T82" s="40">
        <f t="shared" si="5"/>
        <v>1</v>
      </c>
      <c r="AB82" s="566" t="str">
        <f>IF(O82="","",INDEX(Odds!H:H,MATCH(O82,Odds!G:G,0)))</f>
        <v/>
      </c>
      <c r="AC82" s="587" t="str">
        <f>IF(J82="","",INDEX(Odds!K:K,MATCH(J82,Odds!G:G,0)))</f>
        <v/>
      </c>
      <c r="AD82" s="58"/>
      <c r="AE82" s="58"/>
      <c r="AF82" s="431"/>
      <c r="AG82" s="58"/>
    </row>
    <row r="83" spans="1:33" ht="13.9" thickTop="1" thickBot="1">
      <c r="A83" s="433" t="str">
        <f>Results!B83</f>
        <v>Julie Dodd</v>
      </c>
      <c r="B83" s="449" t="str">
        <f t="shared" si="6"/>
        <v/>
      </c>
      <c r="C83" s="505" t="str">
        <f>IF(J83="","",INDEX(Odds!C:C,MATCH(J83,Odds!G:G,0)))</f>
        <v/>
      </c>
      <c r="D83" s="434" t="str">
        <f t="shared" si="7"/>
        <v/>
      </c>
      <c r="E83" s="452" t="str">
        <f t="shared" si="9"/>
        <v/>
      </c>
      <c r="F83" s="375">
        <f>IF(J83="",-10,INDEX(Results!T:T,MATCH(A83,Results!V:V,0)))</f>
        <v>-10</v>
      </c>
      <c r="G83" s="186" t="str">
        <f>IF(J83="","",INDEX(Results!AI:AI,MATCH(A83,Results!V:V,0)))</f>
        <v/>
      </c>
      <c r="H83" s="204">
        <f>IF(G83="",0,1)</f>
        <v>0</v>
      </c>
      <c r="I83" s="372" t="str">
        <f>INDEX(Picks!AG:AG,MATCH(A83,Picks!AD:AD,0))</f>
        <v/>
      </c>
      <c r="J83" s="435"/>
      <c r="K83" s="187" t="e">
        <f>INDEX(Odds!H:H,MATCH(J83,Odds!G:G,0))</f>
        <v>#N/A</v>
      </c>
      <c r="L83" s="436" t="e">
        <f>INDEX(Odds!I:I,MATCH(J83,Odds!G:G,0))</f>
        <v>#N/A</v>
      </c>
      <c r="M83" s="450" t="e">
        <f>INDEX(Odds!J:J,MATCH(J83,Odds!G:G,0))</f>
        <v>#N/A</v>
      </c>
      <c r="N83" s="438" t="e">
        <f t="shared" si="8"/>
        <v>#N/A</v>
      </c>
      <c r="O83" s="561"/>
      <c r="P83" s="58"/>
      <c r="R83" s="35" t="str">
        <f>IF(Odds!G83="","",Odds!G83)</f>
        <v>Wrexham draw</v>
      </c>
      <c r="S83" s="36" t="str">
        <f>INDEX(Odds!H:H,MATCH(R83,Odds!G:G,0))</f>
        <v>13/5</v>
      </c>
      <c r="T83" s="40">
        <f t="shared" si="5"/>
        <v>0</v>
      </c>
      <c r="AB83" s="565" t="str">
        <f>IF(O83="","",INDEX(Odds!H:H,MATCH(O83,Odds!G:G,0)))</f>
        <v/>
      </c>
      <c r="AC83" s="587" t="str">
        <f>IF(J83="","",INDEX(Odds!K:K,MATCH(J83,Odds!G:G,0)))</f>
        <v/>
      </c>
      <c r="AD83" s="58"/>
      <c r="AE83" s="58"/>
      <c r="AF83" s="431"/>
      <c r="AG83" s="58"/>
    </row>
    <row r="84" spans="1:33">
      <c r="A84" s="623" t="str">
        <f>A83</f>
        <v>Julie Dodd</v>
      </c>
      <c r="B84" s="439" t="str">
        <f t="shared" si="6"/>
        <v/>
      </c>
      <c r="C84" s="505" t="str">
        <f>IF(J84="","",INDEX(Odds!C:C,MATCH(J84,Odds!G:G,0)))</f>
        <v/>
      </c>
      <c r="D84" s="440" t="str">
        <f t="shared" si="7"/>
        <v/>
      </c>
      <c r="E84" s="453" t="str">
        <f t="shared" si="9"/>
        <v/>
      </c>
      <c r="F84" s="441"/>
      <c r="G84" s="442"/>
      <c r="H84" s="204"/>
      <c r="I84" s="373"/>
      <c r="J84" s="435"/>
      <c r="K84" s="188" t="e">
        <f>INDEX(Odds!H:H,MATCH(J84,Odds!G:G,0))</f>
        <v>#N/A</v>
      </c>
      <c r="L84" s="443" t="e">
        <f>INDEX(Odds!I:I,MATCH(J84,Odds!G:G,0))</f>
        <v>#N/A</v>
      </c>
      <c r="M84" s="437" t="e">
        <f>INDEX(Odds!J:J,MATCH(J84,Odds!G:G,0))</f>
        <v>#N/A</v>
      </c>
      <c r="N84" s="438" t="e">
        <f t="shared" si="8"/>
        <v>#N/A</v>
      </c>
      <c r="O84" s="561"/>
      <c r="P84" s="58"/>
      <c r="R84" s="35" t="str">
        <f>IF(Odds!G84="","",Odds!G84)</f>
        <v>Bournemouth draw</v>
      </c>
      <c r="S84" s="36" t="str">
        <f>INDEX(Odds!H:H,MATCH(R84,Odds!G:G,0))</f>
        <v>27/10</v>
      </c>
      <c r="T84" s="40">
        <f t="shared" si="5"/>
        <v>0</v>
      </c>
      <c r="AB84" s="565" t="str">
        <f>IF(O84="","",INDEX(Odds!H:H,MATCH(O84,Odds!G:G,0)))</f>
        <v/>
      </c>
      <c r="AC84" s="587" t="str">
        <f>IF(J84="","",INDEX(Odds!K:K,MATCH(J84,Odds!G:G,0)))</f>
        <v/>
      </c>
      <c r="AD84" s="58"/>
      <c r="AE84" s="58"/>
      <c r="AF84" s="431"/>
      <c r="AG84" s="58"/>
    </row>
    <row r="85" spans="1:33" ht="13.5" thickBot="1">
      <c r="A85" s="624" t="str">
        <f>A83</f>
        <v>Julie Dodd</v>
      </c>
      <c r="B85" s="444" t="str">
        <f t="shared" si="6"/>
        <v/>
      </c>
      <c r="C85" s="506" t="str">
        <f>IF(J85="","",INDEX(Odds!C:C,MATCH(J85,Odds!G:G,0)))</f>
        <v/>
      </c>
      <c r="D85" s="445" t="str">
        <f t="shared" si="7"/>
        <v/>
      </c>
      <c r="E85" s="453" t="str">
        <f t="shared" si="9"/>
        <v/>
      </c>
      <c r="F85" s="441"/>
      <c r="G85" s="442"/>
      <c r="H85" s="204"/>
      <c r="I85" s="373"/>
      <c r="J85" s="446"/>
      <c r="K85" s="189" t="e">
        <f>INDEX(Odds!H:H,MATCH(J85,Odds!G:G,0))</f>
        <v>#N/A</v>
      </c>
      <c r="L85" s="447" t="e">
        <f>INDEX(Odds!I:I,MATCH(J85,Odds!G:G,0))</f>
        <v>#N/A</v>
      </c>
      <c r="M85" s="437" t="e">
        <f>INDEX(Odds!J:J,MATCH(J85,Odds!G:G,0))</f>
        <v>#N/A</v>
      </c>
      <c r="N85" s="448" t="e">
        <f t="shared" si="8"/>
        <v>#N/A</v>
      </c>
      <c r="O85" s="562"/>
      <c r="P85" s="58"/>
      <c r="R85" s="35" t="str">
        <f>IF(Odds!G85="","",Odds!G85)</f>
        <v>Brentford draw</v>
      </c>
      <c r="S85" s="36" t="str">
        <f>INDEX(Odds!H:H,MATCH(R85,Odds!G:G,0))</f>
        <v>14/5</v>
      </c>
      <c r="T85" s="40">
        <f t="shared" si="5"/>
        <v>1</v>
      </c>
      <c r="AB85" s="566" t="str">
        <f>IF(O85="","",INDEX(Odds!H:H,MATCH(O85,Odds!G:G,0)))</f>
        <v/>
      </c>
      <c r="AC85" s="587" t="str">
        <f>IF(J85="","",INDEX(Odds!K:K,MATCH(J85,Odds!G:G,0)))</f>
        <v/>
      </c>
      <c r="AD85" s="58"/>
      <c r="AE85" s="58"/>
      <c r="AF85" s="431"/>
      <c r="AG85" s="58"/>
    </row>
    <row r="86" spans="1:33" ht="13.9" thickTop="1" thickBot="1">
      <c r="A86" s="433" t="str">
        <f>Results!B86</f>
        <v>Kevin Carter</v>
      </c>
      <c r="B86" s="449" t="str">
        <f t="shared" si="6"/>
        <v>Leeds</v>
      </c>
      <c r="C86" s="505">
        <f>IF(J86="","",INDEX(Odds!C:C,MATCH(J86,Odds!G:G,0)))</f>
        <v>6</v>
      </c>
      <c r="D86" s="434">
        <f t="shared" si="7"/>
        <v>1.6153846153846154</v>
      </c>
      <c r="E86" s="452" t="str">
        <f t="shared" si="9"/>
        <v>x</v>
      </c>
      <c r="F86" s="375">
        <f>IF(J86="",-10,INDEX(Results!T:T,MATCH(A86,Results!V:V,0)))</f>
        <v>-0.63030303030303081</v>
      </c>
      <c r="G86" s="186">
        <f>IF(J86="","",INDEX(Results!AI:AI,MATCH(A86,Results!V:V,0)))</f>
        <v>11.274592074592075</v>
      </c>
      <c r="H86" s="204">
        <f>IF(G86="",0,1)</f>
        <v>1</v>
      </c>
      <c r="I86" s="372">
        <f>INDEX(Picks!AG:AG,MATCH(A86,Picks!AD:AD,0))</f>
        <v>14</v>
      </c>
      <c r="J86" s="435" t="s">
        <v>618</v>
      </c>
      <c r="K86" s="187" t="str">
        <f>INDEX(Odds!H:H,MATCH(J86,Odds!G:G,0))</f>
        <v>8/13</v>
      </c>
      <c r="L86" s="436">
        <f>INDEX(Odds!I:I,MATCH(J86,Odds!G:G,0))</f>
        <v>1.6153846153846154</v>
      </c>
      <c r="M86" s="450">
        <f>INDEX(Odds!J:J,MATCH(J86,Odds!G:G,0))</f>
        <v>0</v>
      </c>
      <c r="N86" s="438">
        <f t="shared" si="8"/>
        <v>0</v>
      </c>
      <c r="O86" s="561"/>
      <c r="P86" s="58"/>
      <c r="R86" s="35" t="str">
        <f>IF(Odds!G86="","",Odds!G86)</f>
        <v>Chelsea draw</v>
      </c>
      <c r="S86" s="36" t="str">
        <f>INDEX(Odds!H:H,MATCH(R86,Odds!G:G,0))</f>
        <v>24/5</v>
      </c>
      <c r="T86" s="40">
        <f t="shared" si="5"/>
        <v>1</v>
      </c>
      <c r="AB86" s="565" t="str">
        <f>IF(O86="","",INDEX(Odds!H:H,MATCH(O86,Odds!G:G,0)))</f>
        <v/>
      </c>
      <c r="AC86" s="587">
        <f>IF(J86="","",INDEX(Odds!K:K,MATCH(J86,Odds!G:G,0)))</f>
        <v>1</v>
      </c>
      <c r="AD86" s="58"/>
      <c r="AE86" s="58"/>
      <c r="AF86" s="431"/>
      <c r="AG86" s="58"/>
    </row>
    <row r="87" spans="1:33">
      <c r="A87" s="623" t="str">
        <f>A86</f>
        <v>Kevin Carter</v>
      </c>
      <c r="B87" s="439" t="str">
        <f t="shared" si="6"/>
        <v>Preston</v>
      </c>
      <c r="C87" s="505">
        <f>IF(J87="","",INDEX(Odds!C:C,MATCH(J87,Odds!G:G,0)))</f>
        <v>6</v>
      </c>
      <c r="D87" s="440">
        <f t="shared" si="7"/>
        <v>1.5333333333333332</v>
      </c>
      <c r="E87" s="453" t="str">
        <f t="shared" si="9"/>
        <v>√</v>
      </c>
      <c r="F87" s="441"/>
      <c r="G87" s="442"/>
      <c r="H87" s="204"/>
      <c r="I87" s="373"/>
      <c r="J87" s="435" t="s">
        <v>517</v>
      </c>
      <c r="K87" s="188" t="str">
        <f>INDEX(Odds!H:H,MATCH(J87,Odds!G:G,0))</f>
        <v>8/15</v>
      </c>
      <c r="L87" s="443">
        <f>INDEX(Odds!I:I,MATCH(J87,Odds!G:G,0))</f>
        <v>1.5333333333333332</v>
      </c>
      <c r="M87" s="437">
        <f>INDEX(Odds!J:J,MATCH(J87,Odds!G:G,0))</f>
        <v>1</v>
      </c>
      <c r="N87" s="438">
        <f t="shared" si="8"/>
        <v>1.5333333333333332</v>
      </c>
      <c r="O87" s="561"/>
      <c r="P87" s="58"/>
      <c r="R87" s="35" t="str">
        <f>IF(Odds!G87="","",Odds!G87)</f>
        <v>Forest draw</v>
      </c>
      <c r="S87" s="36" t="str">
        <f>INDEX(Odds!H:H,MATCH(R87,Odds!G:G,0))</f>
        <v>12/5</v>
      </c>
      <c r="T87" s="40">
        <f t="shared" si="5"/>
        <v>1</v>
      </c>
      <c r="AB87" s="565" t="str">
        <f>IF(O87="","",INDEX(Odds!H:H,MATCH(O87,Odds!G:G,0)))</f>
        <v/>
      </c>
      <c r="AC87" s="587">
        <f>IF(J87="","",INDEX(Odds!K:K,MATCH(J87,Odds!G:G,0)))</f>
        <v>1</v>
      </c>
      <c r="AD87" s="58"/>
      <c r="AE87" s="58"/>
      <c r="AF87" s="431"/>
      <c r="AG87" s="58"/>
    </row>
    <row r="88" spans="1:33" ht="13.5" thickBot="1">
      <c r="A88" s="624" t="str">
        <f>A86</f>
        <v>Kevin Carter</v>
      </c>
      <c r="B88" s="444" t="str">
        <f t="shared" si="6"/>
        <v>MK Dons</v>
      </c>
      <c r="C88" s="506">
        <f>IF(J88="","",INDEX(Odds!C:C,MATCH(J88,Odds!G:G,0)))</f>
        <v>6</v>
      </c>
      <c r="D88" s="445">
        <f t="shared" si="7"/>
        <v>1.9090909090909092</v>
      </c>
      <c r="E88" s="453" t="str">
        <f t="shared" si="9"/>
        <v>√</v>
      </c>
      <c r="F88" s="441"/>
      <c r="G88" s="442"/>
      <c r="H88" s="204"/>
      <c r="I88" s="373"/>
      <c r="J88" s="446" t="s">
        <v>587</v>
      </c>
      <c r="K88" s="189" t="str">
        <f>INDEX(Odds!H:H,MATCH(J88,Odds!G:G,0))</f>
        <v>10/11</v>
      </c>
      <c r="L88" s="447">
        <f>INDEX(Odds!I:I,MATCH(J88,Odds!G:G,0))</f>
        <v>1.9090909090909092</v>
      </c>
      <c r="M88" s="437">
        <f>INDEX(Odds!J:J,MATCH(J88,Odds!G:G,0))</f>
        <v>1</v>
      </c>
      <c r="N88" s="448">
        <f t="shared" si="8"/>
        <v>1.9090909090909092</v>
      </c>
      <c r="O88" s="562"/>
      <c r="P88" s="58"/>
      <c r="R88" s="35" t="str">
        <f>IF(Odds!G88="","",Odds!G88)</f>
        <v>Newcastle draw</v>
      </c>
      <c r="S88" s="36" t="str">
        <f>INDEX(Odds!H:H,MATCH(R88,Odds!G:G,0))</f>
        <v>3/1</v>
      </c>
      <c r="T88" s="40">
        <f t="shared" si="5"/>
        <v>0</v>
      </c>
      <c r="AB88" s="566" t="str">
        <f>IF(O88="","",INDEX(Odds!H:H,MATCH(O88,Odds!G:G,0)))</f>
        <v/>
      </c>
      <c r="AC88" s="587">
        <f>IF(J88="","",INDEX(Odds!K:K,MATCH(J88,Odds!G:G,0)))</f>
        <v>1</v>
      </c>
      <c r="AD88" s="58"/>
      <c r="AE88" s="58"/>
      <c r="AF88" s="431"/>
      <c r="AG88" s="58"/>
    </row>
    <row r="89" spans="1:33" ht="13.9" thickTop="1" thickBot="1">
      <c r="A89" s="433" t="str">
        <f>Results!B89</f>
        <v>Lennie Bow</v>
      </c>
      <c r="B89" s="449" t="str">
        <f t="shared" si="6"/>
        <v>Norwich</v>
      </c>
      <c r="C89" s="505">
        <f>IF(J89="","",INDEX(Odds!C:C,MATCH(J89,Odds!G:G,0)))</f>
        <v>6</v>
      </c>
      <c r="D89" s="434">
        <f t="shared" si="7"/>
        <v>1.5</v>
      </c>
      <c r="E89" s="452" t="str">
        <f t="shared" si="9"/>
        <v>√</v>
      </c>
      <c r="F89" s="375">
        <f>IF(J89="",-10,INDEX(Results!T:T,MATCH(A89,Results!V:V,0)))</f>
        <v>-5.5</v>
      </c>
      <c r="G89" s="186">
        <f>IF(J89="","",INDEX(Results!AI:AI,MATCH(A89,Results!V:V,0)))</f>
        <v>6.4761904761904745</v>
      </c>
      <c r="H89" s="204">
        <f>IF(G89="",0,1)</f>
        <v>1</v>
      </c>
      <c r="I89" s="372">
        <f>INDEX(Picks!AG:AG,MATCH(A89,Picks!AD:AD,0))</f>
        <v>34</v>
      </c>
      <c r="J89" s="435" t="s">
        <v>609</v>
      </c>
      <c r="K89" s="187" t="str">
        <f>INDEX(Odds!H:H,MATCH(J89,Odds!G:G,0))</f>
        <v>1/2</v>
      </c>
      <c r="L89" s="436">
        <f>INDEX(Odds!I:I,MATCH(J89,Odds!G:G,0))</f>
        <v>1.5</v>
      </c>
      <c r="M89" s="450">
        <f>INDEX(Odds!J:J,MATCH(J89,Odds!G:G,0))</f>
        <v>1</v>
      </c>
      <c r="N89" s="438">
        <f t="shared" si="8"/>
        <v>1.5</v>
      </c>
      <c r="O89" s="561"/>
      <c r="P89" s="58"/>
      <c r="R89" s="35" t="str">
        <f>IF(Odds!G89="","",Odds!G89)</f>
        <v>Sheff U draw</v>
      </c>
      <c r="S89" s="36" t="str">
        <f>INDEX(Odds!H:H,MATCH(R89,Odds!G:G,0))</f>
        <v>3/1</v>
      </c>
      <c r="T89" s="40">
        <f t="shared" si="5"/>
        <v>1</v>
      </c>
      <c r="AB89" s="565" t="str">
        <f>IF(O89="","",INDEX(Odds!H:H,MATCH(O89,Odds!G:G,0)))</f>
        <v/>
      </c>
      <c r="AC89" s="587">
        <f>IF(J89="","",INDEX(Odds!K:K,MATCH(J89,Odds!G:G,0)))</f>
        <v>1</v>
      </c>
      <c r="AD89" s="58"/>
      <c r="AE89" s="58"/>
      <c r="AF89" s="431"/>
      <c r="AG89" s="58"/>
    </row>
    <row r="90" spans="1:33">
      <c r="A90" s="623" t="str">
        <f>A89</f>
        <v>Lennie Bow</v>
      </c>
      <c r="B90" s="439" t="str">
        <f t="shared" si="6"/>
        <v>Barnsley</v>
      </c>
      <c r="C90" s="505">
        <f>IF(J90="","",INDEX(Odds!C:C,MATCH(J90,Odds!G:G,0)))</f>
        <v>6</v>
      </c>
      <c r="D90" s="440">
        <f t="shared" si="7"/>
        <v>1.5333333333333332</v>
      </c>
      <c r="E90" s="453" t="str">
        <f t="shared" si="9"/>
        <v>x</v>
      </c>
      <c r="F90" s="441"/>
      <c r="G90" s="442"/>
      <c r="H90" s="204"/>
      <c r="I90" s="373"/>
      <c r="J90" s="435" t="s">
        <v>619</v>
      </c>
      <c r="K90" s="188" t="str">
        <f>INDEX(Odds!H:H,MATCH(J90,Odds!G:G,0))</f>
        <v>8/15</v>
      </c>
      <c r="L90" s="443">
        <f>INDEX(Odds!I:I,MATCH(J90,Odds!G:G,0))</f>
        <v>1.5333333333333332</v>
      </c>
      <c r="M90" s="437">
        <f>INDEX(Odds!J:J,MATCH(J90,Odds!G:G,0))</f>
        <v>0</v>
      </c>
      <c r="N90" s="438">
        <f t="shared" si="8"/>
        <v>0</v>
      </c>
      <c r="O90" s="561"/>
      <c r="P90" s="58"/>
      <c r="R90" s="35" t="str">
        <f>IF(Odds!G90="","",Odds!G90)</f>
        <v>Spurs draw</v>
      </c>
      <c r="S90" s="36" t="str">
        <f>INDEX(Odds!H:H,MATCH(R90,Odds!G:G,0))</f>
        <v>6/1</v>
      </c>
      <c r="T90" s="40">
        <f t="shared" si="5"/>
        <v>0</v>
      </c>
      <c r="AB90" s="565" t="str">
        <f>IF(O90="","",INDEX(Odds!H:H,MATCH(O90,Odds!G:G,0)))</f>
        <v/>
      </c>
      <c r="AC90" s="587">
        <f>IF(J90="","",INDEX(Odds!K:K,MATCH(J90,Odds!G:G,0)))</f>
        <v>1</v>
      </c>
      <c r="AD90" s="58"/>
      <c r="AE90" s="58"/>
      <c r="AF90" s="431"/>
      <c r="AG90" s="58"/>
    </row>
    <row r="91" spans="1:33" ht="13.5" thickBot="1">
      <c r="A91" s="624" t="str">
        <f>A89</f>
        <v>Lennie Bow</v>
      </c>
      <c r="B91" s="444" t="str">
        <f t="shared" si="6"/>
        <v>Peterborough</v>
      </c>
      <c r="C91" s="506">
        <f>IF(J91="","",INDEX(Odds!C:C,MATCH(J91,Odds!G:G,0)))</f>
        <v>6</v>
      </c>
      <c r="D91" s="445">
        <f t="shared" si="7"/>
        <v>1.2857142857142856</v>
      </c>
      <c r="E91" s="453" t="str">
        <f t="shared" si="9"/>
        <v>x</v>
      </c>
      <c r="F91" s="441"/>
      <c r="G91" s="442"/>
      <c r="H91" s="204"/>
      <c r="I91" s="373"/>
      <c r="J91" s="446" t="s">
        <v>628</v>
      </c>
      <c r="K91" s="189" t="str">
        <f>INDEX(Odds!H:H,MATCH(J91,Odds!G:G,0))</f>
        <v>2/7</v>
      </c>
      <c r="L91" s="447">
        <f>INDEX(Odds!I:I,MATCH(J91,Odds!G:G,0))</f>
        <v>1.2857142857142856</v>
      </c>
      <c r="M91" s="437">
        <f>INDEX(Odds!J:J,MATCH(J91,Odds!G:G,0))</f>
        <v>0</v>
      </c>
      <c r="N91" s="448">
        <f t="shared" si="8"/>
        <v>0</v>
      </c>
      <c r="O91" s="562"/>
      <c r="P91" s="58"/>
      <c r="R91" s="35" t="str">
        <f>IF(Odds!G91="","",Odds!G91)</f>
        <v>Villa draw</v>
      </c>
      <c r="S91" s="36" t="str">
        <f>INDEX(Odds!H:H,MATCH(R91,Odds!G:G,0))</f>
        <v>10/3</v>
      </c>
      <c r="T91" s="40">
        <f t="shared" si="5"/>
        <v>0</v>
      </c>
      <c r="AB91" s="566" t="str">
        <f>IF(O91="","",INDEX(Odds!H:H,MATCH(O91,Odds!G:G,0)))</f>
        <v/>
      </c>
      <c r="AC91" s="587">
        <f>IF(J91="","",INDEX(Odds!K:K,MATCH(J91,Odds!G:G,0)))</f>
        <v>1</v>
      </c>
      <c r="AD91" s="58"/>
      <c r="AE91" s="58"/>
      <c r="AF91" s="431"/>
      <c r="AG91" s="58"/>
    </row>
    <row r="92" spans="1:33" ht="13.9" thickTop="1" thickBot="1">
      <c r="A92" s="433" t="str">
        <f>Results!B92</f>
        <v>Mark Bunn</v>
      </c>
      <c r="B92" s="449" t="str">
        <f t="shared" si="6"/>
        <v>Cardiff</v>
      </c>
      <c r="C92" s="505">
        <f>IF(J92="","",INDEX(Odds!C:C,MATCH(J92,Odds!G:G,0)))</f>
        <v>6</v>
      </c>
      <c r="D92" s="434">
        <f t="shared" si="7"/>
        <v>2.6</v>
      </c>
      <c r="E92" s="452" t="str">
        <f t="shared" si="9"/>
        <v>x</v>
      </c>
      <c r="F92" s="375">
        <f>IF(J92="",-10,INDEX(Results!T:T,MATCH(A92,Results!V:V,0)))</f>
        <v>-4.625</v>
      </c>
      <c r="G92" s="186">
        <f>IF(J92="","",INDEX(Results!AI:AI,MATCH(A92,Results!V:V,0)))</f>
        <v>46.675000000000004</v>
      </c>
      <c r="H92" s="204">
        <f>IF(G92="",0,1)</f>
        <v>1</v>
      </c>
      <c r="I92" s="372">
        <f>INDEX(Picks!AG:AG,MATCH(A92,Picks!AD:AD,0))</f>
        <v>21</v>
      </c>
      <c r="J92" s="435" t="s">
        <v>602</v>
      </c>
      <c r="K92" s="187" t="str">
        <f>INDEX(Odds!H:H,MATCH(J92,Odds!G:G,0))</f>
        <v>8/5</v>
      </c>
      <c r="L92" s="436">
        <f>INDEX(Odds!I:I,MATCH(J92,Odds!G:G,0))</f>
        <v>2.6</v>
      </c>
      <c r="M92" s="450">
        <f>INDEX(Odds!J:J,MATCH(J92,Odds!G:G,0))</f>
        <v>0</v>
      </c>
      <c r="N92" s="438">
        <f t="shared" si="8"/>
        <v>0</v>
      </c>
      <c r="O92" s="561"/>
      <c r="P92" s="58"/>
      <c r="R92" s="35" t="str">
        <f>IF(Odds!G92="","",Odds!G92)</f>
        <v>Liverpool draw</v>
      </c>
      <c r="S92" s="36" t="str">
        <f>INDEX(Odds!H:H,MATCH(R92,Odds!G:G,0))</f>
        <v>9/2</v>
      </c>
      <c r="T92" s="40">
        <f t="shared" si="5"/>
        <v>0</v>
      </c>
      <c r="AB92" s="565" t="str">
        <f>IF(O92="","",INDEX(Odds!H:H,MATCH(O92,Odds!G:G,0)))</f>
        <v/>
      </c>
      <c r="AC92" s="587">
        <f>IF(J92="","",INDEX(Odds!K:K,MATCH(J92,Odds!G:G,0)))</f>
        <v>1</v>
      </c>
      <c r="AD92" s="58"/>
      <c r="AE92" s="58"/>
      <c r="AF92" s="431"/>
      <c r="AG92" s="58"/>
    </row>
    <row r="93" spans="1:33">
      <c r="A93" s="623" t="str">
        <f>A92</f>
        <v>Mark Bunn</v>
      </c>
      <c r="B93" s="439" t="str">
        <f t="shared" si="6"/>
        <v>Coventry</v>
      </c>
      <c r="C93" s="505">
        <f>IF(J93="","",INDEX(Odds!C:C,MATCH(J93,Odds!G:G,0)))</f>
        <v>6</v>
      </c>
      <c r="D93" s="440">
        <f t="shared" si="7"/>
        <v>2.375</v>
      </c>
      <c r="E93" s="453" t="str">
        <f t="shared" si="9"/>
        <v>√</v>
      </c>
      <c r="F93" s="441"/>
      <c r="G93" s="442"/>
      <c r="H93" s="204"/>
      <c r="I93" s="373"/>
      <c r="J93" s="435" t="s">
        <v>604</v>
      </c>
      <c r="K93" s="188" t="str">
        <f>INDEX(Odds!H:H,MATCH(J93,Odds!G:G,0))</f>
        <v>11/8</v>
      </c>
      <c r="L93" s="443">
        <f>INDEX(Odds!I:I,MATCH(J93,Odds!G:G,0))</f>
        <v>2.375</v>
      </c>
      <c r="M93" s="437">
        <f>INDEX(Odds!J:J,MATCH(J93,Odds!G:G,0))</f>
        <v>1</v>
      </c>
      <c r="N93" s="438">
        <f t="shared" si="8"/>
        <v>2.375</v>
      </c>
      <c r="O93" s="561"/>
      <c r="P93" s="58"/>
      <c r="R93" s="41" t="str">
        <f>IF(Odds!G93="","",Odds!G93)</f>
        <v>Man C draw</v>
      </c>
      <c r="S93" s="42" t="str">
        <f>INDEX(Odds!H:H,MATCH(R93,Odds!G:G,0))</f>
        <v>3/1</v>
      </c>
      <c r="T93" s="43">
        <f t="shared" si="5"/>
        <v>1</v>
      </c>
      <c r="AB93" s="565" t="str">
        <f>IF(O93="","",INDEX(Odds!H:H,MATCH(O93,Odds!G:G,0)))</f>
        <v/>
      </c>
      <c r="AC93" s="587">
        <f>IF(J93="","",INDEX(Odds!K:K,MATCH(J93,Odds!G:G,0)))</f>
        <v>1</v>
      </c>
      <c r="AD93" s="58"/>
      <c r="AE93" s="58"/>
      <c r="AF93" s="431"/>
      <c r="AG93" s="58"/>
    </row>
    <row r="94" spans="1:33" ht="13.5" thickBot="1">
      <c r="A94" s="624" t="str">
        <f>A92</f>
        <v>Mark Bunn</v>
      </c>
      <c r="B94" s="444" t="str">
        <f t="shared" si="6"/>
        <v>Newport</v>
      </c>
      <c r="C94" s="506">
        <f>IF(J94="","",INDEX(Odds!C:C,MATCH(J94,Odds!G:G,0)))</f>
        <v>6</v>
      </c>
      <c r="D94" s="445">
        <f t="shared" si="7"/>
        <v>3.5</v>
      </c>
      <c r="E94" s="453" t="str">
        <f t="shared" si="9"/>
        <v>x</v>
      </c>
      <c r="F94" s="441"/>
      <c r="G94" s="442"/>
      <c r="H94" s="204"/>
      <c r="I94" s="373"/>
      <c r="J94" s="446" t="s">
        <v>591</v>
      </c>
      <c r="K94" s="189" t="str">
        <f>INDEX(Odds!H:H,MATCH(J94,Odds!G:G,0))</f>
        <v>5/2</v>
      </c>
      <c r="L94" s="447">
        <f>INDEX(Odds!I:I,MATCH(J94,Odds!G:G,0))</f>
        <v>3.5</v>
      </c>
      <c r="M94" s="437">
        <f>INDEX(Odds!J:J,MATCH(J94,Odds!G:G,0))</f>
        <v>0</v>
      </c>
      <c r="N94" s="448">
        <f t="shared" si="8"/>
        <v>0</v>
      </c>
      <c r="O94" s="562"/>
      <c r="P94" s="58"/>
      <c r="R94" s="37" t="str">
        <f>IF(Odds!G94="","",Odds!G94)</f>
        <v>Ipswich</v>
      </c>
      <c r="S94" s="38" t="str">
        <f>INDEX(Odds!H:H,MATCH(R94,Odds!G:G,0))</f>
        <v>17/20</v>
      </c>
      <c r="T94" s="39">
        <f t="shared" ref="T94:T139" si="10">IF(V2&lt;X2,1,0)</f>
        <v>1</v>
      </c>
      <c r="AB94" s="566" t="str">
        <f>IF(O94="","",INDEX(Odds!H:H,MATCH(O94,Odds!G:G,0)))</f>
        <v/>
      </c>
      <c r="AC94" s="587">
        <f>IF(J94="","",INDEX(Odds!K:K,MATCH(J94,Odds!G:G,0)))</f>
        <v>1</v>
      </c>
      <c r="AD94" s="58"/>
      <c r="AE94" s="58"/>
      <c r="AF94" s="431"/>
      <c r="AG94" s="58"/>
    </row>
    <row r="95" spans="1:33" ht="13.5" customHeight="1" thickTop="1" thickBot="1">
      <c r="A95" s="433" t="str">
        <f>Results!B95</f>
        <v>Mark Saunders</v>
      </c>
      <c r="B95" s="449" t="str">
        <f t="shared" si="6"/>
        <v>Wrexham</v>
      </c>
      <c r="C95" s="505">
        <f>IF(J95="","",INDEX(Odds!C:C,MATCH(J95,Odds!G:G,0)))</f>
        <v>6</v>
      </c>
      <c r="D95" s="434">
        <f t="shared" si="7"/>
        <v>2.2999999999999998</v>
      </c>
      <c r="E95" s="452" t="str">
        <f t="shared" si="9"/>
        <v>√</v>
      </c>
      <c r="F95" s="375">
        <f>IF(J95="",-10,INDEX(Results!T:T,MATCH(A95,Results!V:V,0)))</f>
        <v>-4.7</v>
      </c>
      <c r="G95" s="186">
        <f>IF(J95="","",INDEX(Results!AI:AI,MATCH(A95,Results!V:V,0)))</f>
        <v>31.270000000000003</v>
      </c>
      <c r="H95" s="204">
        <f>IF(G95="",0,1)</f>
        <v>1</v>
      </c>
      <c r="I95" s="372">
        <f>INDEX(Picks!AG:AG,MATCH(A95,Picks!AD:AD,0))</f>
        <v>22</v>
      </c>
      <c r="J95" s="435" t="s">
        <v>528</v>
      </c>
      <c r="K95" s="187" t="str">
        <f>INDEX(Odds!H:H,MATCH(J95,Odds!G:G,0))</f>
        <v>13/10</v>
      </c>
      <c r="L95" s="436">
        <f>INDEX(Odds!I:I,MATCH(J95,Odds!G:G,0))</f>
        <v>2.2999999999999998</v>
      </c>
      <c r="M95" s="450">
        <f>INDEX(Odds!J:J,MATCH(J95,Odds!G:G,0))</f>
        <v>1</v>
      </c>
      <c r="N95" s="438">
        <f t="shared" si="8"/>
        <v>2.2999999999999998</v>
      </c>
      <c r="O95" s="561"/>
      <c r="P95" s="58"/>
      <c r="R95" s="35" t="str">
        <f>IF(Odds!G95="","",Odds!G95)</f>
        <v>Leicester</v>
      </c>
      <c r="S95" s="36" t="str">
        <f>INDEX(Odds!H:H,MATCH(R95,Odds!G:G,0))</f>
        <v>4/5</v>
      </c>
      <c r="T95" s="40">
        <f t="shared" si="10"/>
        <v>0</v>
      </c>
      <c r="AB95" s="565" t="str">
        <f>IF(O95="","",INDEX(Odds!H:H,MATCH(O95,Odds!G:G,0)))</f>
        <v/>
      </c>
      <c r="AC95" s="587">
        <f>IF(J95="","",INDEX(Odds!K:K,MATCH(J95,Odds!G:G,0)))</f>
        <v>1</v>
      </c>
      <c r="AD95" s="58"/>
      <c r="AE95" s="58"/>
      <c r="AF95" s="431"/>
      <c r="AG95" s="58"/>
    </row>
    <row r="96" spans="1:33">
      <c r="A96" s="623" t="str">
        <f>A95</f>
        <v>Mark Saunders</v>
      </c>
      <c r="B96" s="439" t="str">
        <f t="shared" si="6"/>
        <v>Everton</v>
      </c>
      <c r="C96" s="505">
        <f>IF(J96="","",INDEX(Odds!C:C,MATCH(J96,Odds!G:G,0)))</f>
        <v>7</v>
      </c>
      <c r="D96" s="440">
        <f t="shared" si="7"/>
        <v>3.2</v>
      </c>
      <c r="E96" s="453" t="str">
        <f t="shared" si="9"/>
        <v>x</v>
      </c>
      <c r="F96" s="441"/>
      <c r="G96" s="442"/>
      <c r="H96" s="204"/>
      <c r="I96" s="373"/>
      <c r="J96" s="435" t="s">
        <v>638</v>
      </c>
      <c r="K96" s="188" t="str">
        <f>INDEX(Odds!H:H,MATCH(J96,Odds!G:G,0))</f>
        <v>11/5</v>
      </c>
      <c r="L96" s="443">
        <f>INDEX(Odds!I:I,MATCH(J96,Odds!G:G,0))</f>
        <v>3.2</v>
      </c>
      <c r="M96" s="437">
        <f>INDEX(Odds!J:J,MATCH(J96,Odds!G:G,0))</f>
        <v>0</v>
      </c>
      <c r="N96" s="438">
        <f t="shared" si="8"/>
        <v>0</v>
      </c>
      <c r="O96" s="561"/>
      <c r="P96" s="58"/>
      <c r="R96" s="35" t="str">
        <f>IF(Odds!G96="","",Odds!G96)</f>
        <v>Sunderland</v>
      </c>
      <c r="S96" s="36" t="str">
        <f>INDEX(Odds!H:H,MATCH(R96,Odds!G:G,0))</f>
        <v>7/4</v>
      </c>
      <c r="T96" s="40">
        <f t="shared" si="10"/>
        <v>1</v>
      </c>
      <c r="AB96" s="565" t="str">
        <f>IF(O96="","",INDEX(Odds!H:H,MATCH(O96,Odds!G:G,0)))</f>
        <v/>
      </c>
      <c r="AC96" s="587">
        <f>IF(J96="","",INDEX(Odds!K:K,MATCH(J96,Odds!G:G,0)))</f>
        <v>1</v>
      </c>
      <c r="AD96" s="58"/>
      <c r="AE96" s="58"/>
      <c r="AF96" s="431"/>
      <c r="AG96" s="58"/>
    </row>
    <row r="97" spans="1:33" ht="13.5" thickBot="1">
      <c r="A97" s="624" t="str">
        <f>A95</f>
        <v>Mark Saunders</v>
      </c>
      <c r="B97" s="444" t="str">
        <f t="shared" si="6"/>
        <v>Man C</v>
      </c>
      <c r="C97" s="506">
        <f>IF(J97="","",INDEX(Odds!C:C,MATCH(J97,Odds!G:G,0)))</f>
        <v>1</v>
      </c>
      <c r="D97" s="445">
        <f t="shared" si="7"/>
        <v>1.8333333333333335</v>
      </c>
      <c r="E97" s="453" t="str">
        <f t="shared" si="9"/>
        <v>x</v>
      </c>
      <c r="F97" s="441"/>
      <c r="G97" s="442"/>
      <c r="H97" s="204"/>
      <c r="I97" s="373"/>
      <c r="J97" s="446" t="s">
        <v>650</v>
      </c>
      <c r="K97" s="189" t="str">
        <f>INDEX(Odds!H:H,MATCH(J97,Odds!G:G,0))</f>
        <v>5/6</v>
      </c>
      <c r="L97" s="447">
        <f>INDEX(Odds!I:I,MATCH(J97,Odds!G:G,0))</f>
        <v>1.8333333333333335</v>
      </c>
      <c r="M97" s="437">
        <f>INDEX(Odds!J:J,MATCH(J97,Odds!G:G,0))</f>
        <v>0</v>
      </c>
      <c r="N97" s="448">
        <f t="shared" si="8"/>
        <v>0</v>
      </c>
      <c r="O97" s="562"/>
      <c r="P97" s="58"/>
      <c r="R97" s="35" t="str">
        <f>IF(Odds!G97="","",Odds!G97)</f>
        <v>Coventry</v>
      </c>
      <c r="S97" s="36" t="str">
        <f>INDEX(Odds!H:H,MATCH(R97,Odds!G:G,0))</f>
        <v>11/8</v>
      </c>
      <c r="T97" s="40">
        <f t="shared" si="10"/>
        <v>1</v>
      </c>
      <c r="AB97" s="566" t="str">
        <f>IF(O97="","",INDEX(Odds!H:H,MATCH(O97,Odds!G:G,0)))</f>
        <v/>
      </c>
      <c r="AC97" s="587">
        <f>IF(J97="","",INDEX(Odds!K:K,MATCH(J97,Odds!G:G,0)))</f>
        <v>1</v>
      </c>
      <c r="AD97" s="58"/>
      <c r="AE97" s="58"/>
      <c r="AF97" s="431"/>
      <c r="AG97" s="58"/>
    </row>
    <row r="98" spans="1:33" ht="13.9" thickTop="1" thickBot="1">
      <c r="A98" s="433" t="str">
        <f>Results!B98</f>
        <v>Martin Molyneux</v>
      </c>
      <c r="B98" s="449" t="str">
        <f t="shared" si="6"/>
        <v>Barrow</v>
      </c>
      <c r="C98" s="505">
        <f>IF(J98="","",INDEX(Odds!C:C,MATCH(J98,Odds!G:G,0)))</f>
        <v>6</v>
      </c>
      <c r="D98" s="434">
        <f t="shared" si="7"/>
        <v>1.95</v>
      </c>
      <c r="E98" s="452" t="str">
        <f t="shared" si="9"/>
        <v>√</v>
      </c>
      <c r="F98" s="375">
        <f>IF(J98="",-10,INDEX(Results!T:T,MATCH(A98,Results!V:V,0)))</f>
        <v>10.683333333333334</v>
      </c>
      <c r="G98" s="186">
        <f>IF(J98="","",INDEX(Results!AI:AI,MATCH(A98,Results!V:V,0)))</f>
        <v>10.683333333333334</v>
      </c>
      <c r="H98" s="204">
        <f>IF(G98="",0,1)</f>
        <v>1</v>
      </c>
      <c r="I98" s="372">
        <f>INDEX(Picks!AG:AG,MATCH(A98,Picks!AD:AD,0))</f>
        <v>5</v>
      </c>
      <c r="J98" s="435" t="s">
        <v>580</v>
      </c>
      <c r="K98" s="187" t="str">
        <f>INDEX(Odds!H:H,MATCH(J98,Odds!G:G,0))</f>
        <v>19/20</v>
      </c>
      <c r="L98" s="436">
        <f>INDEX(Odds!I:I,MATCH(J98,Odds!G:G,0))</f>
        <v>1.95</v>
      </c>
      <c r="M98" s="450">
        <f>INDEX(Odds!J:J,MATCH(J98,Odds!G:G,0))</f>
        <v>1</v>
      </c>
      <c r="N98" s="438">
        <f t="shared" ref="N98:N148" si="11">L98*M98</f>
        <v>1.95</v>
      </c>
      <c r="O98" s="561"/>
      <c r="P98" s="58"/>
      <c r="R98" s="35" t="str">
        <f>IF(Odds!G98="","",Odds!G98)</f>
        <v>Stoke</v>
      </c>
      <c r="S98" s="36" t="str">
        <f>INDEX(Odds!H:H,MATCH(R98,Odds!G:G,0))</f>
        <v>29/10</v>
      </c>
      <c r="T98" s="40">
        <f t="shared" si="10"/>
        <v>1</v>
      </c>
      <c r="AB98" s="565" t="str">
        <f>IF(O98="","",INDEX(Odds!H:H,MATCH(O98,Odds!G:G,0)))</f>
        <v/>
      </c>
      <c r="AC98" s="587">
        <f>IF(J98="","",INDEX(Odds!K:K,MATCH(J98,Odds!G:G,0)))</f>
        <v>1</v>
      </c>
      <c r="AD98" s="58"/>
      <c r="AE98" s="58"/>
      <c r="AF98" s="431"/>
      <c r="AG98" s="58"/>
    </row>
    <row r="99" spans="1:33">
      <c r="A99" s="623" t="str">
        <f>A98</f>
        <v>Martin Molyneux</v>
      </c>
      <c r="B99" s="439" t="str">
        <f t="shared" si="6"/>
        <v>Spurs</v>
      </c>
      <c r="C99" s="505">
        <f>IF(J99="","",INDEX(Odds!C:C,MATCH(J99,Odds!G:G,0)))</f>
        <v>7</v>
      </c>
      <c r="D99" s="440">
        <f t="shared" si="7"/>
        <v>1.2222222222222223</v>
      </c>
      <c r="E99" s="453" t="str">
        <f t="shared" si="9"/>
        <v>√</v>
      </c>
      <c r="F99" s="441"/>
      <c r="G99" s="442"/>
      <c r="H99" s="204"/>
      <c r="I99" s="373"/>
      <c r="J99" s="435" t="s">
        <v>429</v>
      </c>
      <c r="K99" s="188" t="str">
        <f>INDEX(Odds!H:H,MATCH(J99,Odds!G:G,0))</f>
        <v>2/9</v>
      </c>
      <c r="L99" s="443">
        <f>INDEX(Odds!I:I,MATCH(J99,Odds!G:G,0))</f>
        <v>1.2222222222222223</v>
      </c>
      <c r="M99" s="437">
        <f>INDEX(Odds!J:J,MATCH(J99,Odds!G:G,0))</f>
        <v>1</v>
      </c>
      <c r="N99" s="438">
        <f t="shared" si="11"/>
        <v>1.2222222222222223</v>
      </c>
      <c r="O99" s="561"/>
      <c r="P99" s="58"/>
      <c r="R99" s="35" t="str">
        <f>IF(Odds!G99="","",Odds!G99)</f>
        <v>West Brom</v>
      </c>
      <c r="S99" s="36" t="str">
        <f>INDEX(Odds!H:H,MATCH(R99,Odds!G:G,0))</f>
        <v>11/8</v>
      </c>
      <c r="T99" s="40">
        <f t="shared" si="10"/>
        <v>0</v>
      </c>
      <c r="AB99" s="565" t="str">
        <f>IF(O99="","",INDEX(Odds!H:H,MATCH(O99,Odds!G:G,0)))</f>
        <v/>
      </c>
      <c r="AC99" s="587">
        <f>IF(J99="","",INDEX(Odds!K:K,MATCH(J99,Odds!G:G,0)))</f>
        <v>1</v>
      </c>
      <c r="AD99" s="58"/>
      <c r="AE99" s="58"/>
      <c r="AF99" s="431"/>
      <c r="AG99" s="58"/>
    </row>
    <row r="100" spans="1:33" ht="13.5" thickBot="1">
      <c r="A100" s="624" t="str">
        <f>A98</f>
        <v>Martin Molyneux</v>
      </c>
      <c r="B100" s="444" t="str">
        <f t="shared" si="6"/>
        <v>Newcastle</v>
      </c>
      <c r="C100" s="506">
        <f>IF(J100="","",INDEX(Odds!C:C,MATCH(J100,Odds!G:G,0)))</f>
        <v>7</v>
      </c>
      <c r="D100" s="445">
        <f t="shared" si="7"/>
        <v>1.85</v>
      </c>
      <c r="E100" s="453" t="str">
        <f t="shared" si="9"/>
        <v>√</v>
      </c>
      <c r="F100" s="441"/>
      <c r="G100" s="442"/>
      <c r="H100" s="204"/>
      <c r="I100" s="373"/>
      <c r="J100" s="446" t="s">
        <v>644</v>
      </c>
      <c r="K100" s="189" t="str">
        <f>INDEX(Odds!H:H,MATCH(J100,Odds!G:G,0))</f>
        <v>17/20</v>
      </c>
      <c r="L100" s="447">
        <f>INDEX(Odds!I:I,MATCH(J100,Odds!G:G,0))</f>
        <v>1.85</v>
      </c>
      <c r="M100" s="437">
        <f>INDEX(Odds!J:J,MATCH(J100,Odds!G:G,0))</f>
        <v>1</v>
      </c>
      <c r="N100" s="448">
        <f t="shared" si="11"/>
        <v>1.85</v>
      </c>
      <c r="O100" s="562"/>
      <c r="P100" s="58"/>
      <c r="R100" s="35" t="str">
        <f>IF(Odds!G100="","",Odds!G100)</f>
        <v>Plymouth</v>
      </c>
      <c r="S100" s="36" t="str">
        <f>INDEX(Odds!H:H,MATCH(R100,Odds!G:G,0))</f>
        <v>5/1</v>
      </c>
      <c r="T100" s="40">
        <f t="shared" si="10"/>
        <v>0</v>
      </c>
      <c r="AB100" s="566" t="str">
        <f>IF(O100="","",INDEX(Odds!H:H,MATCH(O100,Odds!G:G,0)))</f>
        <v/>
      </c>
      <c r="AC100" s="587">
        <f>IF(J100="","",INDEX(Odds!K:K,MATCH(J100,Odds!G:G,0)))</f>
        <v>1</v>
      </c>
      <c r="AD100" s="58"/>
      <c r="AE100" s="58"/>
      <c r="AF100" s="431"/>
      <c r="AG100" s="58"/>
    </row>
    <row r="101" spans="1:33" ht="13.9" thickTop="1" thickBot="1">
      <c r="A101" s="433" t="str">
        <f>Results!B101</f>
        <v>Martin Tarbuck</v>
      </c>
      <c r="B101" s="449" t="str">
        <f t="shared" si="6"/>
        <v>Preston</v>
      </c>
      <c r="C101" s="505">
        <f>IF(J101="","",INDEX(Odds!C:C,MATCH(J101,Odds!G:G,0)))</f>
        <v>6</v>
      </c>
      <c r="D101" s="434">
        <f t="shared" si="7"/>
        <v>1.5333333333333332</v>
      </c>
      <c r="E101" s="452" t="str">
        <f t="shared" si="9"/>
        <v>√</v>
      </c>
      <c r="F101" s="375">
        <f>IF(J101="",-10,INDEX(Results!T:T,MATCH(A101,Results!V:V,0)))</f>
        <v>12.139999999999997</v>
      </c>
      <c r="G101" s="186">
        <f>IF(J101="","",INDEX(Results!AI:AI,MATCH(A101,Results!V:V,0)))</f>
        <v>12.139999999999997</v>
      </c>
      <c r="H101" s="204">
        <f>IF(G101="",0,1)</f>
        <v>1</v>
      </c>
      <c r="I101" s="372">
        <f>INDEX(Picks!AG:AG,MATCH(A101,Picks!AD:AD,0))</f>
        <v>4</v>
      </c>
      <c r="J101" s="435" t="s">
        <v>517</v>
      </c>
      <c r="K101" s="187" t="str">
        <f>INDEX(Odds!H:H,MATCH(J101,Odds!G:G,0))</f>
        <v>8/15</v>
      </c>
      <c r="L101" s="436">
        <f>INDEX(Odds!I:I,MATCH(J101,Odds!G:G,0))</f>
        <v>1.5333333333333332</v>
      </c>
      <c r="M101" s="450">
        <f>INDEX(Odds!J:J,MATCH(J101,Odds!G:G,0))</f>
        <v>1</v>
      </c>
      <c r="N101" s="438">
        <f t="shared" si="11"/>
        <v>1.5333333333333332</v>
      </c>
      <c r="O101" s="561"/>
      <c r="P101" s="58"/>
      <c r="R101" s="35" t="str">
        <f>IF(Odds!G101="","",Odds!G101)</f>
        <v>Rotherham</v>
      </c>
      <c r="S101" s="36" t="str">
        <f>INDEX(Odds!H:H,MATCH(R101,Odds!G:G,0))</f>
        <v>11/2</v>
      </c>
      <c r="T101" s="40">
        <f t="shared" si="10"/>
        <v>0</v>
      </c>
      <c r="AB101" s="565" t="str">
        <f>IF(O101="","",INDEX(Odds!H:H,MATCH(O101,Odds!G:G,0)))</f>
        <v/>
      </c>
      <c r="AC101" s="587">
        <f>IF(J101="","",INDEX(Odds!K:K,MATCH(J101,Odds!G:G,0)))</f>
        <v>1</v>
      </c>
      <c r="AD101" s="58"/>
      <c r="AE101" s="58"/>
      <c r="AF101" s="431"/>
      <c r="AG101" s="58"/>
    </row>
    <row r="102" spans="1:33">
      <c r="A102" s="623" t="str">
        <f>A101</f>
        <v>Martin Tarbuck</v>
      </c>
      <c r="B102" s="439" t="str">
        <f t="shared" si="6"/>
        <v>Stockport</v>
      </c>
      <c r="C102" s="505">
        <f>IF(J102="","",INDEX(Odds!C:C,MATCH(J102,Odds!G:G,0)))</f>
        <v>6</v>
      </c>
      <c r="D102" s="440">
        <f t="shared" si="7"/>
        <v>1.65</v>
      </c>
      <c r="E102" s="453" t="str">
        <f t="shared" si="9"/>
        <v>√</v>
      </c>
      <c r="F102" s="441"/>
      <c r="G102" s="442"/>
      <c r="H102" s="204"/>
      <c r="I102" s="373"/>
      <c r="J102" s="435" t="s">
        <v>594</v>
      </c>
      <c r="K102" s="188" t="str">
        <f>INDEX(Odds!H:H,MATCH(J102,Odds!G:G,0))</f>
        <v>13/20</v>
      </c>
      <c r="L102" s="443">
        <f>INDEX(Odds!I:I,MATCH(J102,Odds!G:G,0))</f>
        <v>1.65</v>
      </c>
      <c r="M102" s="437">
        <f>INDEX(Odds!J:J,MATCH(J102,Odds!G:G,0))</f>
        <v>1</v>
      </c>
      <c r="N102" s="438">
        <f t="shared" si="11"/>
        <v>1.65</v>
      </c>
      <c r="O102" s="561"/>
      <c r="P102" s="58"/>
      <c r="R102" s="35" t="str">
        <f>IF(Odds!G102="","",Odds!G102)</f>
        <v>Birmingham</v>
      </c>
      <c r="S102" s="36" t="str">
        <f>INDEX(Odds!H:H,MATCH(R102,Odds!G:G,0))</f>
        <v>11/4</v>
      </c>
      <c r="T102" s="40">
        <f t="shared" si="10"/>
        <v>0</v>
      </c>
      <c r="AB102" s="565" t="str">
        <f>IF(O102="","",INDEX(Odds!H:H,MATCH(O102,Odds!G:G,0)))</f>
        <v/>
      </c>
      <c r="AC102" s="587">
        <f>IF(J102="","",INDEX(Odds!K:K,MATCH(J102,Odds!G:G,0)))</f>
        <v>1</v>
      </c>
      <c r="AD102" s="58"/>
      <c r="AE102" s="58"/>
      <c r="AF102" s="431"/>
      <c r="AG102" s="58"/>
    </row>
    <row r="103" spans="1:33" ht="13.5" thickBot="1">
      <c r="A103" s="624" t="str">
        <f>A101</f>
        <v>Martin Tarbuck</v>
      </c>
      <c r="B103" s="444" t="str">
        <f t="shared" si="6"/>
        <v>Lincoln</v>
      </c>
      <c r="C103" s="506">
        <f>IF(J103="","",INDEX(Odds!C:C,MATCH(J103,Odds!G:G,0)))</f>
        <v>6</v>
      </c>
      <c r="D103" s="445">
        <f t="shared" si="7"/>
        <v>2</v>
      </c>
      <c r="E103" s="453" t="str">
        <f t="shared" si="9"/>
        <v>√</v>
      </c>
      <c r="F103" s="441"/>
      <c r="G103" s="442"/>
      <c r="H103" s="204"/>
      <c r="I103" s="373"/>
      <c r="J103" s="446" t="s">
        <v>626</v>
      </c>
      <c r="K103" s="189" t="str">
        <f>INDEX(Odds!H:H,MATCH(J103,Odds!G:G,0))</f>
        <v>1/1</v>
      </c>
      <c r="L103" s="447">
        <f>INDEX(Odds!I:I,MATCH(J103,Odds!G:G,0))</f>
        <v>2</v>
      </c>
      <c r="M103" s="437">
        <f>INDEX(Odds!J:J,MATCH(J103,Odds!G:G,0))</f>
        <v>1</v>
      </c>
      <c r="N103" s="448">
        <f t="shared" si="11"/>
        <v>2</v>
      </c>
      <c r="O103" s="562"/>
      <c r="P103" s="58"/>
      <c r="R103" s="35" t="str">
        <f>IF(Odds!G103="","",Odds!G103)</f>
        <v>Swansea</v>
      </c>
      <c r="S103" s="36" t="str">
        <f>INDEX(Odds!H:H,MATCH(R103,Odds!G:G,0))</f>
        <v>9/5</v>
      </c>
      <c r="T103" s="40">
        <f t="shared" si="10"/>
        <v>0</v>
      </c>
      <c r="AB103" s="566" t="str">
        <f>IF(O103="","",INDEX(Odds!H:H,MATCH(O103,Odds!G:G,0)))</f>
        <v/>
      </c>
      <c r="AC103" s="587">
        <f>IF(J103="","",INDEX(Odds!K:K,MATCH(J103,Odds!G:G,0)))</f>
        <v>1</v>
      </c>
      <c r="AD103" s="58"/>
      <c r="AE103" s="58"/>
      <c r="AF103" s="431"/>
      <c r="AG103" s="58"/>
    </row>
    <row r="104" spans="1:33" ht="13.9" thickTop="1" thickBot="1">
      <c r="A104" s="433" t="str">
        <f>Results!B104</f>
        <v>Mike Penk</v>
      </c>
      <c r="B104" s="449" t="str">
        <f t="shared" si="6"/>
        <v>Coventry</v>
      </c>
      <c r="C104" s="505">
        <f>IF(J104="","",INDEX(Odds!C:C,MATCH(J104,Odds!G:G,0)))</f>
        <v>6</v>
      </c>
      <c r="D104" s="434">
        <f t="shared" si="7"/>
        <v>2.375</v>
      </c>
      <c r="E104" s="452" t="str">
        <f t="shared" si="9"/>
        <v>√</v>
      </c>
      <c r="F104" s="375">
        <f>IF(J104="",-10,INDEX(Results!T:T,MATCH(A104,Results!V:V,0)))</f>
        <v>2.125</v>
      </c>
      <c r="G104" s="186">
        <f>IF(J104="","",INDEX(Results!AI:AI,MATCH(A104,Results!V:V,0)))</f>
        <v>23.387500000000003</v>
      </c>
      <c r="H104" s="204">
        <f>IF(G104="",0,1)</f>
        <v>1</v>
      </c>
      <c r="I104" s="372">
        <f>INDEX(Picks!AG:AG,MATCH(A104,Picks!AD:AD,0))</f>
        <v>7</v>
      </c>
      <c r="J104" s="435" t="s">
        <v>604</v>
      </c>
      <c r="K104" s="187" t="str">
        <f>INDEX(Odds!H:H,MATCH(J104,Odds!G:G,0))</f>
        <v>11/8</v>
      </c>
      <c r="L104" s="436">
        <f>INDEX(Odds!I:I,MATCH(J104,Odds!G:G,0))</f>
        <v>2.375</v>
      </c>
      <c r="M104" s="450">
        <f>INDEX(Odds!J:J,MATCH(J104,Odds!G:G,0))</f>
        <v>1</v>
      </c>
      <c r="N104" s="438">
        <f t="shared" si="11"/>
        <v>2.375</v>
      </c>
      <c r="O104" s="561"/>
      <c r="P104" s="58"/>
      <c r="R104" s="35" t="str">
        <f>IF(Odds!G104="","",Odds!G104)</f>
        <v>Middlesbro</v>
      </c>
      <c r="S104" s="36" t="str">
        <f>INDEX(Odds!H:H,MATCH(R104,Odds!G:G,0))</f>
        <v>4/1</v>
      </c>
      <c r="T104" s="40">
        <f t="shared" si="10"/>
        <v>0</v>
      </c>
      <c r="AB104" s="565" t="str">
        <f>IF(O104="","",INDEX(Odds!H:H,MATCH(O104,Odds!G:G,0)))</f>
        <v/>
      </c>
      <c r="AC104" s="587">
        <f>IF(J104="","",INDEX(Odds!K:K,MATCH(J104,Odds!G:G,0)))</f>
        <v>1</v>
      </c>
      <c r="AD104" s="58"/>
      <c r="AE104" s="58"/>
      <c r="AF104" s="431"/>
      <c r="AG104" s="58"/>
    </row>
    <row r="105" spans="1:33">
      <c r="A105" s="623" t="str">
        <f>A104</f>
        <v>Mike Penk</v>
      </c>
      <c r="B105" s="439" t="str">
        <f t="shared" si="6"/>
        <v>Accrington</v>
      </c>
      <c r="C105" s="505">
        <f>IF(J105="","",INDEX(Odds!C:C,MATCH(J105,Odds!G:G,0)))</f>
        <v>6</v>
      </c>
      <c r="D105" s="440">
        <f t="shared" si="7"/>
        <v>2.1</v>
      </c>
      <c r="E105" s="453" t="str">
        <f t="shared" si="9"/>
        <v>x</v>
      </c>
      <c r="F105" s="441"/>
      <c r="G105" s="442"/>
      <c r="H105" s="204"/>
      <c r="I105" s="373"/>
      <c r="J105" s="435" t="s">
        <v>578</v>
      </c>
      <c r="K105" s="188" t="str">
        <f>INDEX(Odds!H:H,MATCH(J105,Odds!G:G,0))</f>
        <v>11/10</v>
      </c>
      <c r="L105" s="443">
        <f>INDEX(Odds!I:I,MATCH(J105,Odds!G:G,0))</f>
        <v>2.1</v>
      </c>
      <c r="M105" s="437">
        <f>INDEX(Odds!J:J,MATCH(J105,Odds!G:G,0))</f>
        <v>0</v>
      </c>
      <c r="N105" s="438">
        <f t="shared" si="11"/>
        <v>0</v>
      </c>
      <c r="O105" s="561"/>
      <c r="P105" s="58"/>
      <c r="R105" s="35" t="str">
        <f>IF(Odds!G105="","",Odds!G105)</f>
        <v>Leeds</v>
      </c>
      <c r="S105" s="36" t="str">
        <f>INDEX(Odds!H:H,MATCH(R105,Odds!G:G,0))</f>
        <v>8/13</v>
      </c>
      <c r="T105" s="40">
        <f t="shared" si="10"/>
        <v>0</v>
      </c>
      <c r="AB105" s="565" t="str">
        <f>IF(O105="","",INDEX(Odds!H:H,MATCH(O105,Odds!G:G,0)))</f>
        <v/>
      </c>
      <c r="AC105" s="587">
        <f>IF(J105="","",INDEX(Odds!K:K,MATCH(J105,Odds!G:G,0)))</f>
        <v>1</v>
      </c>
      <c r="AD105" s="58"/>
      <c r="AE105" s="58"/>
      <c r="AF105" s="431"/>
      <c r="AG105" s="58"/>
    </row>
    <row r="106" spans="1:33" ht="13.5" thickBot="1">
      <c r="A106" s="624" t="str">
        <f>A104</f>
        <v>Mike Penk</v>
      </c>
      <c r="B106" s="444" t="str">
        <f t="shared" si="6"/>
        <v>Bradford</v>
      </c>
      <c r="C106" s="506">
        <f>IF(J106="","",INDEX(Odds!C:C,MATCH(J106,Odds!G:G,0)))</f>
        <v>6</v>
      </c>
      <c r="D106" s="445">
        <f t="shared" si="7"/>
        <v>2</v>
      </c>
      <c r="E106" s="601" t="str">
        <f t="shared" si="9"/>
        <v>√</v>
      </c>
      <c r="F106" s="602"/>
      <c r="G106" s="603"/>
      <c r="H106" s="204"/>
      <c r="I106" s="373"/>
      <c r="J106" s="446" t="s">
        <v>579</v>
      </c>
      <c r="K106" s="189" t="str">
        <f>INDEX(Odds!H:H,MATCH(J106,Odds!G:G,0))</f>
        <v>1/1</v>
      </c>
      <c r="L106" s="447">
        <f>INDEX(Odds!I:I,MATCH(J106,Odds!G:G,0))</f>
        <v>2</v>
      </c>
      <c r="M106" s="437">
        <f>INDEX(Odds!J:J,MATCH(J106,Odds!G:G,0))</f>
        <v>1</v>
      </c>
      <c r="N106" s="448">
        <f t="shared" si="11"/>
        <v>2</v>
      </c>
      <c r="O106" s="562"/>
      <c r="P106" s="58"/>
      <c r="R106" s="35" t="str">
        <f>IF(Odds!G106="","",Odds!G106)</f>
        <v>Cambridge</v>
      </c>
      <c r="S106" s="36" t="str">
        <f>INDEX(Odds!H:H,MATCH(R106,Odds!G:G,0))</f>
        <v>24/5</v>
      </c>
      <c r="T106" s="40">
        <f t="shared" si="10"/>
        <v>1</v>
      </c>
      <c r="AB106" s="566" t="str">
        <f>IF(O106="","",INDEX(Odds!H:H,MATCH(O106,Odds!G:G,0)))</f>
        <v/>
      </c>
      <c r="AC106" s="587">
        <f>IF(J106="","",INDEX(Odds!K:K,MATCH(J106,Odds!G:G,0)))</f>
        <v>1</v>
      </c>
      <c r="AD106" s="58"/>
      <c r="AE106" s="58"/>
      <c r="AF106" s="431"/>
      <c r="AG106" s="58"/>
    </row>
    <row r="107" spans="1:33" ht="13.9" thickTop="1" thickBot="1">
      <c r="A107" s="433" t="str">
        <f>Results!B107</f>
        <v>Mo Sudell</v>
      </c>
      <c r="B107" s="449" t="str">
        <f t="shared" si="6"/>
        <v>Preston</v>
      </c>
      <c r="C107" s="505">
        <f>IF(J107="","",INDEX(Odds!C:C,MATCH(J107,Odds!G:G,0)))</f>
        <v>6</v>
      </c>
      <c r="D107" s="434">
        <f t="shared" si="7"/>
        <v>1.5333333333333332</v>
      </c>
      <c r="E107" s="453" t="str">
        <f t="shared" si="9"/>
        <v>√</v>
      </c>
      <c r="F107" s="599">
        <f>IF(J107="",-10,INDEX(Results!T:T,MATCH(A107,Results!V:V,0)))</f>
        <v>-5.4666666666666668</v>
      </c>
      <c r="G107" s="600">
        <f>IF(J107="","",INDEX(Results!AI:AI,MATCH(A107,Results!V:V,0)))</f>
        <v>10.932444444444442</v>
      </c>
      <c r="H107" s="204">
        <f>IF(G107="",0,1)</f>
        <v>1</v>
      </c>
      <c r="I107" s="372">
        <f>INDEX(Picks!AG:AG,MATCH(A107,Picks!AD:AD,0))</f>
        <v>33</v>
      </c>
      <c r="J107" s="435" t="s">
        <v>517</v>
      </c>
      <c r="K107" s="187" t="str">
        <f>INDEX(Odds!H:H,MATCH(J107,Odds!G:G,0))</f>
        <v>8/15</v>
      </c>
      <c r="L107" s="436">
        <f>INDEX(Odds!I:I,MATCH(J107,Odds!G:G,0))</f>
        <v>1.5333333333333332</v>
      </c>
      <c r="M107" s="450">
        <f>INDEX(Odds!J:J,MATCH(J107,Odds!G:G,0))</f>
        <v>1</v>
      </c>
      <c r="N107" s="438">
        <f t="shared" si="11"/>
        <v>1.5333333333333332</v>
      </c>
      <c r="O107" s="561"/>
      <c r="P107" s="58"/>
      <c r="R107" s="35" t="str">
        <f>IF(Odds!G107="","",Odds!G107)</f>
        <v>Blackpool</v>
      </c>
      <c r="S107" s="36" t="str">
        <f>INDEX(Odds!H:H,MATCH(R107,Odds!G:G,0))</f>
        <v>3/1</v>
      </c>
      <c r="T107" s="40">
        <f t="shared" si="10"/>
        <v>0</v>
      </c>
      <c r="AB107" s="565" t="str">
        <f>IF(O107="","",INDEX(Odds!H:H,MATCH(O107,Odds!G:G,0)))</f>
        <v/>
      </c>
      <c r="AC107" s="587">
        <f>IF(J107="","",INDEX(Odds!K:K,MATCH(J107,Odds!G:G,0)))</f>
        <v>1</v>
      </c>
      <c r="AD107" s="58"/>
      <c r="AE107" s="58"/>
      <c r="AF107" s="431"/>
      <c r="AG107" s="58"/>
    </row>
    <row r="108" spans="1:33">
      <c r="A108" s="623" t="str">
        <f>A107</f>
        <v>Mo Sudell</v>
      </c>
      <c r="B108" s="439" t="str">
        <f t="shared" si="6"/>
        <v>Barnsley</v>
      </c>
      <c r="C108" s="505">
        <f>IF(J108="","",INDEX(Odds!C:C,MATCH(J108,Odds!G:G,0)))</f>
        <v>6</v>
      </c>
      <c r="D108" s="440">
        <f t="shared" si="7"/>
        <v>1.5333333333333332</v>
      </c>
      <c r="E108" s="453" t="str">
        <f t="shared" si="9"/>
        <v>x</v>
      </c>
      <c r="F108" s="441"/>
      <c r="G108" s="442"/>
      <c r="H108" s="204"/>
      <c r="I108" s="373"/>
      <c r="J108" s="435" t="s">
        <v>619</v>
      </c>
      <c r="K108" s="188" t="str">
        <f>INDEX(Odds!H:H,MATCH(J108,Odds!G:G,0))</f>
        <v>8/15</v>
      </c>
      <c r="L108" s="443">
        <f>INDEX(Odds!I:I,MATCH(J108,Odds!G:G,0))</f>
        <v>1.5333333333333332</v>
      </c>
      <c r="M108" s="437">
        <f>INDEX(Odds!J:J,MATCH(J108,Odds!G:G,0))</f>
        <v>0</v>
      </c>
      <c r="N108" s="438">
        <f t="shared" si="11"/>
        <v>0</v>
      </c>
      <c r="O108" s="561"/>
      <c r="P108" s="58"/>
      <c r="R108" s="35" t="str">
        <f>IF(Odds!G108="","",Odds!G108)</f>
        <v>Charlton</v>
      </c>
      <c r="S108" s="36" t="str">
        <f>INDEX(Odds!H:H,MATCH(R108,Odds!G:G,0))</f>
        <v>8/5</v>
      </c>
      <c r="T108" s="40">
        <f t="shared" si="10"/>
        <v>0</v>
      </c>
      <c r="AB108" s="565" t="str">
        <f>IF(O108="","",INDEX(Odds!H:H,MATCH(O108,Odds!G:G,0)))</f>
        <v/>
      </c>
      <c r="AC108" s="587">
        <f>IF(J108="","",INDEX(Odds!K:K,MATCH(J108,Odds!G:G,0)))</f>
        <v>1</v>
      </c>
      <c r="AD108" s="58"/>
      <c r="AE108" s="58"/>
      <c r="AF108" s="431"/>
      <c r="AG108" s="58"/>
    </row>
    <row r="109" spans="1:33" ht="13.5" thickBot="1">
      <c r="A109" s="624" t="str">
        <f>A107</f>
        <v>Mo Sudell</v>
      </c>
      <c r="B109" s="444" t="str">
        <f t="shared" si="6"/>
        <v>Wigan</v>
      </c>
      <c r="C109" s="506">
        <f>IF(J109="","",INDEX(Odds!C:C,MATCH(J109,Odds!G:G,0)))</f>
        <v>6</v>
      </c>
      <c r="D109" s="445">
        <f t="shared" si="7"/>
        <v>1.95</v>
      </c>
      <c r="E109" s="453" t="str">
        <f t="shared" si="9"/>
        <v>x</v>
      </c>
      <c r="F109" s="441"/>
      <c r="G109" s="442"/>
      <c r="H109" s="204"/>
      <c r="I109" s="373"/>
      <c r="J109" s="446" t="s">
        <v>348</v>
      </c>
      <c r="K109" s="189" t="str">
        <f>INDEX(Odds!H:H,MATCH(J109,Odds!G:G,0))</f>
        <v>19/20</v>
      </c>
      <c r="L109" s="447">
        <f>INDEX(Odds!I:I,MATCH(J109,Odds!G:G,0))</f>
        <v>1.95</v>
      </c>
      <c r="M109" s="437">
        <f>INDEX(Odds!J:J,MATCH(J109,Odds!G:G,0))</f>
        <v>0</v>
      </c>
      <c r="N109" s="448">
        <f t="shared" si="11"/>
        <v>0</v>
      </c>
      <c r="O109" s="562"/>
      <c r="P109" s="58"/>
      <c r="R109" s="35" t="str">
        <f>IF(Odds!G109="","",Odds!G109)</f>
        <v>Cheltenham</v>
      </c>
      <c r="S109" s="36" t="str">
        <f>INDEX(Odds!H:H,MATCH(R109,Odds!G:G,0))</f>
        <v>5/2</v>
      </c>
      <c r="T109" s="40">
        <f t="shared" si="10"/>
        <v>1</v>
      </c>
      <c r="AB109" s="566" t="str">
        <f>IF(O109="","",INDEX(Odds!H:H,MATCH(O109,Odds!G:G,0)))</f>
        <v/>
      </c>
      <c r="AC109" s="587">
        <f>IF(J109="","",INDEX(Odds!K:K,MATCH(J109,Odds!G:G,0)))</f>
        <v>1</v>
      </c>
      <c r="AD109" s="58"/>
      <c r="AE109" s="58"/>
      <c r="AF109" s="431"/>
      <c r="AG109" s="58"/>
    </row>
    <row r="110" spans="1:33" ht="13.9" thickTop="1" thickBot="1">
      <c r="A110" s="433" t="str">
        <f>Results!B110</f>
        <v>Nick Blocksidge</v>
      </c>
      <c r="B110" s="449" t="str">
        <f t="shared" ref="B110:B151" si="12">IF(J110="","",J110)</f>
        <v/>
      </c>
      <c r="C110" s="505" t="str">
        <f>IF(J110="","",INDEX(Odds!C:C,MATCH(J110,Odds!G:G,0)))</f>
        <v/>
      </c>
      <c r="D110" s="434" t="str">
        <f t="shared" ref="D110:D151" si="13">IF(J110="","",L110)</f>
        <v/>
      </c>
      <c r="E110" s="452" t="str">
        <f t="shared" si="9"/>
        <v/>
      </c>
      <c r="F110" s="375">
        <f>IF(J110="",-10,INDEX(Results!T:T,MATCH(A110,Results!V:V,0)))</f>
        <v>-10</v>
      </c>
      <c r="G110" s="186" t="str">
        <f>IF(J110="","",INDEX(Results!AI:AI,MATCH(A110,Results!V:V,0)))</f>
        <v/>
      </c>
      <c r="H110" s="204">
        <f>IF(G110="",0,1)</f>
        <v>0</v>
      </c>
      <c r="I110" s="372" t="str">
        <f>INDEX(Picks!AG:AG,MATCH(A110,Picks!AD:AD,0))</f>
        <v/>
      </c>
      <c r="J110" s="435"/>
      <c r="K110" s="187" t="e">
        <f>INDEX(Odds!H:H,MATCH(J110,Odds!G:G,0))</f>
        <v>#N/A</v>
      </c>
      <c r="L110" s="436" t="e">
        <f>INDEX(Odds!I:I,MATCH(J110,Odds!G:G,0))</f>
        <v>#N/A</v>
      </c>
      <c r="M110" s="450" t="e">
        <f>INDEX(Odds!J:J,MATCH(J110,Odds!G:G,0))</f>
        <v>#N/A</v>
      </c>
      <c r="N110" s="438" t="e">
        <f t="shared" si="11"/>
        <v>#N/A</v>
      </c>
      <c r="O110" s="561"/>
      <c r="P110" s="58"/>
      <c r="R110" s="35" t="str">
        <f>IF(Odds!G110="","",Odds!G110)</f>
        <v>Orient</v>
      </c>
      <c r="S110" s="36" t="str">
        <f>INDEX(Odds!H:H,MATCH(R110,Odds!G:G,0))</f>
        <v>27/10</v>
      </c>
      <c r="T110" s="40">
        <f t="shared" si="10"/>
        <v>0</v>
      </c>
      <c r="AB110" s="565" t="str">
        <f>IF(O110="","",INDEX(Odds!H:H,MATCH(O110,Odds!G:G,0)))</f>
        <v/>
      </c>
      <c r="AC110" s="587" t="str">
        <f>IF(J110="","",INDEX(Odds!K:K,MATCH(J110,Odds!G:G,0)))</f>
        <v/>
      </c>
      <c r="AD110" s="58"/>
      <c r="AE110" s="58"/>
      <c r="AF110" s="431"/>
      <c r="AG110" s="58"/>
    </row>
    <row r="111" spans="1:33">
      <c r="A111" s="623" t="str">
        <f>A110</f>
        <v>Nick Blocksidge</v>
      </c>
      <c r="B111" s="439" t="str">
        <f t="shared" si="12"/>
        <v/>
      </c>
      <c r="C111" s="505" t="str">
        <f>IF(J111="","",INDEX(Odds!C:C,MATCH(J111,Odds!G:G,0)))</f>
        <v/>
      </c>
      <c r="D111" s="440" t="str">
        <f t="shared" si="13"/>
        <v/>
      </c>
      <c r="E111" s="453" t="str">
        <f t="shared" si="9"/>
        <v/>
      </c>
      <c r="F111" s="441"/>
      <c r="G111" s="442"/>
      <c r="H111" s="204"/>
      <c r="I111" s="373"/>
      <c r="J111" s="435"/>
      <c r="K111" s="188" t="e">
        <f>INDEX(Odds!H:H,MATCH(J111,Odds!G:G,0))</f>
        <v>#N/A</v>
      </c>
      <c r="L111" s="443" t="e">
        <f>INDEX(Odds!I:I,MATCH(J111,Odds!G:G,0))</f>
        <v>#N/A</v>
      </c>
      <c r="M111" s="437" t="e">
        <f>INDEX(Odds!J:J,MATCH(J111,Odds!G:G,0))</f>
        <v>#N/A</v>
      </c>
      <c r="N111" s="438" t="e">
        <f t="shared" si="11"/>
        <v>#N/A</v>
      </c>
      <c r="O111" s="561"/>
      <c r="P111" s="58"/>
      <c r="R111" s="35" t="str">
        <f>IF(Odds!G111="","",Odds!G111)</f>
        <v>Carlisle</v>
      </c>
      <c r="S111" s="36" t="str">
        <f>INDEX(Odds!H:H,MATCH(R111,Odds!G:G,0))</f>
        <v>8/1</v>
      </c>
      <c r="T111" s="40">
        <f t="shared" si="10"/>
        <v>1</v>
      </c>
      <c r="AB111" s="565" t="str">
        <f>IF(O111="","",INDEX(Odds!H:H,MATCH(O111,Odds!G:G,0)))</f>
        <v/>
      </c>
      <c r="AC111" s="587" t="str">
        <f>IF(J111="","",INDEX(Odds!K:K,MATCH(J111,Odds!G:G,0)))</f>
        <v/>
      </c>
      <c r="AD111" s="58"/>
      <c r="AE111" s="58"/>
      <c r="AF111" s="431"/>
      <c r="AG111" s="58"/>
    </row>
    <row r="112" spans="1:33" ht="13.5" thickBot="1">
      <c r="A112" s="624" t="str">
        <f>A110</f>
        <v>Nick Blocksidge</v>
      </c>
      <c r="B112" s="444" t="str">
        <f t="shared" si="12"/>
        <v/>
      </c>
      <c r="C112" s="506" t="str">
        <f>IF(J112="","",INDEX(Odds!C:C,MATCH(J112,Odds!G:G,0)))</f>
        <v/>
      </c>
      <c r="D112" s="445" t="str">
        <f t="shared" si="13"/>
        <v/>
      </c>
      <c r="E112" s="453" t="str">
        <f t="shared" si="9"/>
        <v/>
      </c>
      <c r="F112" s="441"/>
      <c r="G112" s="442"/>
      <c r="H112" s="204"/>
      <c r="I112" s="373"/>
      <c r="J112" s="446"/>
      <c r="K112" s="189" t="e">
        <f>INDEX(Odds!H:H,MATCH(J112,Odds!G:G,0))</f>
        <v>#N/A</v>
      </c>
      <c r="L112" s="447" t="e">
        <f>INDEX(Odds!I:I,MATCH(J112,Odds!G:G,0))</f>
        <v>#N/A</v>
      </c>
      <c r="M112" s="437" t="e">
        <f>INDEX(Odds!J:J,MATCH(J112,Odds!G:G,0))</f>
        <v>#N/A</v>
      </c>
      <c r="N112" s="448" t="e">
        <f t="shared" si="11"/>
        <v>#N/A</v>
      </c>
      <c r="O112" s="562"/>
      <c r="P112" s="58"/>
      <c r="R112" s="35" t="str">
        <f>IF(Odds!G112="","",Odds!G112)</f>
        <v>Bristol R</v>
      </c>
      <c r="S112" s="36" t="str">
        <f>INDEX(Odds!H:H,MATCH(R112,Odds!G:G,0))</f>
        <v>8/5</v>
      </c>
      <c r="T112" s="40">
        <f t="shared" si="10"/>
        <v>0</v>
      </c>
      <c r="AB112" s="566" t="str">
        <f>IF(O112="","",INDEX(Odds!H:H,MATCH(O112,Odds!G:G,0)))</f>
        <v/>
      </c>
      <c r="AC112" s="587" t="str">
        <f>IF(J112="","",INDEX(Odds!K:K,MATCH(J112,Odds!G:G,0)))</f>
        <v/>
      </c>
      <c r="AD112" s="58"/>
      <c r="AE112" s="58"/>
      <c r="AF112" s="431"/>
      <c r="AG112" s="58"/>
    </row>
    <row r="113" spans="1:33" ht="13.9" thickTop="1" thickBot="1">
      <c r="A113" s="433" t="str">
        <f>Results!B113</f>
        <v>Nigel Heyes</v>
      </c>
      <c r="B113" s="449" t="str">
        <f t="shared" si="12"/>
        <v>Cardiff</v>
      </c>
      <c r="C113" s="505">
        <f>IF(J113="","",INDEX(Odds!C:C,MATCH(J113,Odds!G:G,0)))</f>
        <v>6</v>
      </c>
      <c r="D113" s="434">
        <f t="shared" si="13"/>
        <v>2.6</v>
      </c>
      <c r="E113" s="452" t="str">
        <f t="shared" si="9"/>
        <v>x</v>
      </c>
      <c r="F113" s="375">
        <f>IF(J113="",-10,INDEX(Results!T:T,MATCH(A113,Results!V:V,0)))</f>
        <v>-5.05</v>
      </c>
      <c r="G113" s="186">
        <f>IF(J113="","",INDEX(Results!AI:AI,MATCH(A113,Results!V:V,0)))</f>
        <v>23.329000000000004</v>
      </c>
      <c r="H113" s="204">
        <f>IF(G113="",0,1)</f>
        <v>1</v>
      </c>
      <c r="I113" s="372">
        <f>INDEX(Picks!AG:AG,MATCH(A113,Picks!AD:AD,0))</f>
        <v>30</v>
      </c>
      <c r="J113" s="435" t="s">
        <v>602</v>
      </c>
      <c r="K113" s="187" t="str">
        <f>INDEX(Odds!H:H,MATCH(J113,Odds!G:G,0))</f>
        <v>8/5</v>
      </c>
      <c r="L113" s="436">
        <f>INDEX(Odds!I:I,MATCH(J113,Odds!G:G,0))</f>
        <v>2.6</v>
      </c>
      <c r="M113" s="450">
        <f>INDEX(Odds!J:J,MATCH(J113,Odds!G:G,0))</f>
        <v>0</v>
      </c>
      <c r="N113" s="438">
        <f t="shared" si="11"/>
        <v>0</v>
      </c>
      <c r="O113" s="561"/>
      <c r="P113" s="58"/>
      <c r="R113" s="35" t="str">
        <f>IF(Odds!G113="","",Odds!G113)</f>
        <v>Northampton</v>
      </c>
      <c r="S113" s="36" t="str">
        <f>INDEX(Odds!H:H,MATCH(R113,Odds!G:G,0))</f>
        <v>7/2</v>
      </c>
      <c r="T113" s="40">
        <f t="shared" si="10"/>
        <v>0</v>
      </c>
      <c r="AB113" s="565" t="str">
        <f>IF(O113="","",INDEX(Odds!H:H,MATCH(O113,Odds!G:G,0)))</f>
        <v/>
      </c>
      <c r="AC113" s="587">
        <f>IF(J113="","",INDEX(Odds!K:K,MATCH(J113,Odds!G:G,0)))</f>
        <v>1</v>
      </c>
      <c r="AD113" s="58"/>
      <c r="AE113" s="58"/>
      <c r="AF113" s="431"/>
      <c r="AG113" s="58"/>
    </row>
    <row r="114" spans="1:33">
      <c r="A114" s="623" t="str">
        <f>A113</f>
        <v>Nigel Heyes</v>
      </c>
      <c r="B114" s="439" t="str">
        <f t="shared" si="12"/>
        <v>Wigan</v>
      </c>
      <c r="C114" s="505">
        <f>IF(J114="","",INDEX(Odds!C:C,MATCH(J114,Odds!G:G,0)))</f>
        <v>6</v>
      </c>
      <c r="D114" s="440">
        <f t="shared" si="13"/>
        <v>1.95</v>
      </c>
      <c r="E114" s="453" t="str">
        <f t="shared" si="9"/>
        <v>x</v>
      </c>
      <c r="F114" s="441"/>
      <c r="G114" s="442"/>
      <c r="H114" s="204"/>
      <c r="I114" s="373"/>
      <c r="J114" s="435" t="s">
        <v>348</v>
      </c>
      <c r="K114" s="188" t="str">
        <f>INDEX(Odds!H:H,MATCH(J114,Odds!G:G,0))</f>
        <v>19/20</v>
      </c>
      <c r="L114" s="443">
        <f>INDEX(Odds!I:I,MATCH(J114,Odds!G:G,0))</f>
        <v>1.95</v>
      </c>
      <c r="M114" s="437">
        <f>INDEX(Odds!J:J,MATCH(J114,Odds!G:G,0))</f>
        <v>0</v>
      </c>
      <c r="N114" s="438">
        <f t="shared" si="11"/>
        <v>0</v>
      </c>
      <c r="O114" s="561"/>
      <c r="P114" s="58"/>
      <c r="R114" s="35" t="str">
        <f>IF(Odds!G114="","",Odds!G114)</f>
        <v>Oxford</v>
      </c>
      <c r="S114" s="36" t="str">
        <f>INDEX(Odds!H:H,MATCH(R114,Odds!G:G,0))</f>
        <v>19/20</v>
      </c>
      <c r="T114" s="40">
        <f t="shared" si="10"/>
        <v>0</v>
      </c>
      <c r="AB114" s="565" t="str">
        <f>IF(O114="","",INDEX(Odds!H:H,MATCH(O114,Odds!G:G,0)))</f>
        <v/>
      </c>
      <c r="AC114" s="587">
        <f>IF(J114="","",INDEX(Odds!K:K,MATCH(J114,Odds!G:G,0)))</f>
        <v>1</v>
      </c>
      <c r="AD114" s="58"/>
      <c r="AE114" s="58"/>
      <c r="AF114" s="431"/>
      <c r="AG114" s="58"/>
    </row>
    <row r="115" spans="1:33" ht="13.5" thickBot="1">
      <c r="A115" s="624" t="str">
        <f>A113</f>
        <v>Nigel Heyes</v>
      </c>
      <c r="B115" s="444" t="str">
        <f t="shared" si="12"/>
        <v>Barrow</v>
      </c>
      <c r="C115" s="506">
        <f>IF(J115="","",INDEX(Odds!C:C,MATCH(J115,Odds!G:G,0)))</f>
        <v>6</v>
      </c>
      <c r="D115" s="445">
        <f t="shared" si="13"/>
        <v>1.95</v>
      </c>
      <c r="E115" s="453" t="str">
        <f t="shared" si="9"/>
        <v>√</v>
      </c>
      <c r="F115" s="441"/>
      <c r="G115" s="442"/>
      <c r="H115" s="204"/>
      <c r="I115" s="373"/>
      <c r="J115" s="446" t="s">
        <v>580</v>
      </c>
      <c r="K115" s="189" t="str">
        <f>INDEX(Odds!H:H,MATCH(J115,Odds!G:G,0))</f>
        <v>19/20</v>
      </c>
      <c r="L115" s="447">
        <f>INDEX(Odds!I:I,MATCH(J115,Odds!G:G,0))</f>
        <v>1.95</v>
      </c>
      <c r="M115" s="437">
        <f>INDEX(Odds!J:J,MATCH(J115,Odds!G:G,0))</f>
        <v>1</v>
      </c>
      <c r="N115" s="448">
        <f t="shared" si="11"/>
        <v>1.95</v>
      </c>
      <c r="O115" s="562"/>
      <c r="P115" s="58"/>
      <c r="R115" s="35" t="str">
        <f>IF(Odds!G115="","",Odds!G115)</f>
        <v>Bolton</v>
      </c>
      <c r="S115" s="36" t="str">
        <f>INDEX(Odds!H:H,MATCH(R115,Odds!G:G,0))</f>
        <v>8/5</v>
      </c>
      <c r="T115" s="40">
        <f t="shared" si="10"/>
        <v>0</v>
      </c>
      <c r="AB115" s="566" t="str">
        <f>IF(O115="","",INDEX(Odds!H:H,MATCH(O115,Odds!G:G,0)))</f>
        <v/>
      </c>
      <c r="AC115" s="587">
        <f>IF(J115="","",INDEX(Odds!K:K,MATCH(J115,Odds!G:G,0)))</f>
        <v>1</v>
      </c>
      <c r="AD115" s="58"/>
      <c r="AE115" s="58"/>
      <c r="AF115" s="431"/>
      <c r="AG115" s="58"/>
    </row>
    <row r="116" spans="1:33" ht="13.9" thickTop="1" thickBot="1">
      <c r="A116" s="433" t="str">
        <f>Results!B116</f>
        <v>Paul Adderley</v>
      </c>
      <c r="B116" s="449" t="str">
        <f t="shared" si="12"/>
        <v/>
      </c>
      <c r="C116" s="505" t="str">
        <f>IF(J116="","",INDEX(Odds!C:C,MATCH(J116,Odds!G:G,0)))</f>
        <v/>
      </c>
      <c r="D116" s="434" t="str">
        <f t="shared" si="13"/>
        <v/>
      </c>
      <c r="E116" s="452" t="str">
        <f t="shared" si="9"/>
        <v/>
      </c>
      <c r="F116" s="375">
        <f>IF(J116="",-10,INDEX(Results!T:T,MATCH(A116,Results!V:V,0)))</f>
        <v>-10</v>
      </c>
      <c r="G116" s="186" t="str">
        <f>IF(J116="","",INDEX(Results!AI:AI,MATCH(A116,Results!V:V,0)))</f>
        <v/>
      </c>
      <c r="H116" s="204">
        <f>IF(G116="",0,1)</f>
        <v>0</v>
      </c>
      <c r="I116" s="372" t="str">
        <f>INDEX(Picks!AG:AG,MATCH(A116,Picks!AD:AD,0))</f>
        <v/>
      </c>
      <c r="J116" s="435"/>
      <c r="K116" s="187" t="e">
        <f>INDEX(Odds!H:H,MATCH(J116,Odds!G:G,0))</f>
        <v>#N/A</v>
      </c>
      <c r="L116" s="436" t="e">
        <f>INDEX(Odds!I:I,MATCH(J116,Odds!G:G,0))</f>
        <v>#N/A</v>
      </c>
      <c r="M116" s="450" t="e">
        <f>INDEX(Odds!J:J,MATCH(J116,Odds!G:G,0))</f>
        <v>#N/A</v>
      </c>
      <c r="N116" s="438" t="e">
        <f t="shared" si="11"/>
        <v>#N/A</v>
      </c>
      <c r="O116" s="561"/>
      <c r="P116" s="58"/>
      <c r="R116" s="35" t="str">
        <f>IF(Odds!G116="","",Odds!G116)</f>
        <v>Burton</v>
      </c>
      <c r="S116" s="36" t="str">
        <f>INDEX(Odds!H:H,MATCH(R116,Odds!G:G,0))</f>
        <v>11/4</v>
      </c>
      <c r="T116" s="40">
        <f t="shared" si="10"/>
        <v>0</v>
      </c>
      <c r="AB116" s="565" t="str">
        <f>IF(O116="","",INDEX(Odds!H:H,MATCH(O116,Odds!G:G,0)))</f>
        <v/>
      </c>
      <c r="AC116" s="587" t="str">
        <f>IF(J116="","",INDEX(Odds!K:K,MATCH(J116,Odds!G:G,0)))</f>
        <v/>
      </c>
      <c r="AD116" s="58"/>
      <c r="AE116" s="58"/>
      <c r="AF116" s="431"/>
      <c r="AG116" s="58"/>
    </row>
    <row r="117" spans="1:33">
      <c r="A117" s="623" t="str">
        <f>A116</f>
        <v>Paul Adderley</v>
      </c>
      <c r="B117" s="439" t="str">
        <f t="shared" si="12"/>
        <v/>
      </c>
      <c r="C117" s="505" t="str">
        <f>IF(J117="","",INDEX(Odds!C:C,MATCH(J117,Odds!G:G,0)))</f>
        <v/>
      </c>
      <c r="D117" s="440" t="str">
        <f t="shared" si="13"/>
        <v/>
      </c>
      <c r="E117" s="453" t="str">
        <f t="shared" si="9"/>
        <v/>
      </c>
      <c r="F117" s="441"/>
      <c r="G117" s="442"/>
      <c r="H117" s="204"/>
      <c r="I117" s="373"/>
      <c r="J117" s="435"/>
      <c r="K117" s="188" t="e">
        <f>INDEX(Odds!H:H,MATCH(J117,Odds!G:G,0))</f>
        <v>#N/A</v>
      </c>
      <c r="L117" s="443" t="e">
        <f>INDEX(Odds!I:I,MATCH(J117,Odds!G:G,0))</f>
        <v>#N/A</v>
      </c>
      <c r="M117" s="437" t="e">
        <f>INDEX(Odds!J:J,MATCH(J117,Odds!G:G,0))</f>
        <v>#N/A</v>
      </c>
      <c r="N117" s="438" t="e">
        <f t="shared" si="11"/>
        <v>#N/A</v>
      </c>
      <c r="O117" s="561"/>
      <c r="P117" s="58"/>
      <c r="R117" s="35" t="str">
        <f>IF(Odds!G117="","",Odds!G117)</f>
        <v>Portsmouth</v>
      </c>
      <c r="S117" s="36" t="str">
        <f>INDEX(Odds!H:H,MATCH(R117,Odds!G:G,0))</f>
        <v>23/20</v>
      </c>
      <c r="T117" s="40">
        <f t="shared" si="10"/>
        <v>1</v>
      </c>
      <c r="AB117" s="565" t="str">
        <f>IF(O117="","",INDEX(Odds!H:H,MATCH(O117,Odds!G:G,0)))</f>
        <v/>
      </c>
      <c r="AC117" s="587" t="str">
        <f>IF(J117="","",INDEX(Odds!K:K,MATCH(J117,Odds!G:G,0)))</f>
        <v/>
      </c>
      <c r="AD117" s="58"/>
      <c r="AE117" s="58"/>
      <c r="AF117" s="431"/>
      <c r="AG117" s="58"/>
    </row>
    <row r="118" spans="1:33" ht="13.5" thickBot="1">
      <c r="A118" s="624" t="str">
        <f>A116</f>
        <v>Paul Adderley</v>
      </c>
      <c r="B118" s="444" t="str">
        <f t="shared" si="12"/>
        <v/>
      </c>
      <c r="C118" s="506" t="str">
        <f>IF(J118="","",INDEX(Odds!C:C,MATCH(J118,Odds!G:G,0)))</f>
        <v/>
      </c>
      <c r="D118" s="445" t="str">
        <f t="shared" si="13"/>
        <v/>
      </c>
      <c r="E118" s="453" t="str">
        <f t="shared" si="9"/>
        <v/>
      </c>
      <c r="F118" s="441"/>
      <c r="G118" s="442"/>
      <c r="H118" s="204"/>
      <c r="I118" s="373"/>
      <c r="J118" s="446"/>
      <c r="K118" s="189" t="e">
        <f>INDEX(Odds!H:H,MATCH(J118,Odds!G:G,0))</f>
        <v>#N/A</v>
      </c>
      <c r="L118" s="447" t="e">
        <f>INDEX(Odds!I:I,MATCH(J118,Odds!G:G,0))</f>
        <v>#N/A</v>
      </c>
      <c r="M118" s="437" t="e">
        <f>INDEX(Odds!J:J,MATCH(J118,Odds!G:G,0))</f>
        <v>#N/A</v>
      </c>
      <c r="N118" s="448" t="e">
        <f t="shared" si="11"/>
        <v>#N/A</v>
      </c>
      <c r="O118" s="562"/>
      <c r="P118" s="58"/>
      <c r="R118" s="35" t="str">
        <f>IF(Odds!G118="","",Odds!G118)</f>
        <v>Morecambe</v>
      </c>
      <c r="S118" s="36" t="str">
        <f>INDEX(Odds!H:H,MATCH(R118,Odds!G:G,0))</f>
        <v>11/5</v>
      </c>
      <c r="T118" s="40">
        <f t="shared" si="10"/>
        <v>1</v>
      </c>
      <c r="AB118" s="566" t="str">
        <f>IF(O118="","",INDEX(Odds!H:H,MATCH(O118,Odds!G:G,0)))</f>
        <v/>
      </c>
      <c r="AC118" s="587" t="str">
        <f>IF(J118="","",INDEX(Odds!K:K,MATCH(J118,Odds!G:G,0)))</f>
        <v/>
      </c>
      <c r="AD118" s="58"/>
      <c r="AE118" s="58"/>
      <c r="AF118" s="431"/>
      <c r="AG118" s="58"/>
    </row>
    <row r="119" spans="1:33" ht="13.9" thickTop="1" thickBot="1">
      <c r="A119" s="433" t="str">
        <f>Results!B119</f>
        <v>Paul Allen</v>
      </c>
      <c r="B119" s="449" t="str">
        <f t="shared" si="12"/>
        <v>Blackburn</v>
      </c>
      <c r="C119" s="505">
        <f>IF(J119="","",INDEX(Odds!C:C,MATCH(J119,Odds!G:G,0)))</f>
        <v>6</v>
      </c>
      <c r="D119" s="434">
        <f t="shared" si="13"/>
        <v>3.8</v>
      </c>
      <c r="E119" s="452" t="str">
        <f t="shared" si="9"/>
        <v>x</v>
      </c>
      <c r="F119" s="375">
        <f>IF(J119="",-10,INDEX(Results!T:T,MATCH(A119,Results!V:V,0)))</f>
        <v>-7</v>
      </c>
      <c r="G119" s="186">
        <f>IF(J119="","",INDEX(Results!AI:AI,MATCH(A119,Results!V:V,0)))</f>
        <v>27.150769230769228</v>
      </c>
      <c r="H119" s="204">
        <f>IF(G119="",0,1)</f>
        <v>1</v>
      </c>
      <c r="I119" s="372">
        <f>INDEX(Picks!AG:AG,MATCH(A119,Picks!AD:AD,0))</f>
        <v>35</v>
      </c>
      <c r="J119" s="435" t="s">
        <v>598</v>
      </c>
      <c r="K119" s="187" t="str">
        <f>INDEX(Odds!H:H,MATCH(J119,Odds!G:G,0))</f>
        <v>14/5</v>
      </c>
      <c r="L119" s="436">
        <f>INDEX(Odds!I:I,MATCH(J119,Odds!G:G,0))</f>
        <v>3.8</v>
      </c>
      <c r="M119" s="450">
        <f>INDEX(Odds!J:J,MATCH(J119,Odds!G:G,0))</f>
        <v>0</v>
      </c>
      <c r="N119" s="438">
        <f t="shared" si="11"/>
        <v>0</v>
      </c>
      <c r="O119" s="561"/>
      <c r="P119" s="58"/>
      <c r="R119" s="35" t="str">
        <f>IF(Odds!G119="","",Odds!G119)</f>
        <v>Grimsby</v>
      </c>
      <c r="S119" s="36" t="str">
        <f>INDEX(Odds!H:H,MATCH(R119,Odds!G:G,0))</f>
        <v>11/4</v>
      </c>
      <c r="T119" s="40">
        <f t="shared" si="10"/>
        <v>0</v>
      </c>
      <c r="AB119" s="565" t="str">
        <f>IF(O119="","",INDEX(Odds!H:H,MATCH(O119,Odds!G:G,0)))</f>
        <v/>
      </c>
      <c r="AC119" s="587">
        <f>IF(J119="","",INDEX(Odds!K:K,MATCH(J119,Odds!G:G,0)))</f>
        <v>1</v>
      </c>
      <c r="AD119" s="58"/>
      <c r="AE119" s="58"/>
      <c r="AF119" s="431"/>
      <c r="AG119" s="58"/>
    </row>
    <row r="120" spans="1:33">
      <c r="A120" s="623" t="str">
        <f>A119</f>
        <v>Paul Allen</v>
      </c>
      <c r="B120" s="439" t="str">
        <f t="shared" si="12"/>
        <v>Leicester</v>
      </c>
      <c r="C120" s="505">
        <f>IF(J120="","",INDEX(Odds!C:C,MATCH(J120,Odds!G:G,0)))</f>
        <v>6</v>
      </c>
      <c r="D120" s="440">
        <f t="shared" si="13"/>
        <v>1.8</v>
      </c>
      <c r="E120" s="453" t="str">
        <f t="shared" si="9"/>
        <v>x</v>
      </c>
      <c r="F120" s="441"/>
      <c r="G120" s="442"/>
      <c r="H120" s="204"/>
      <c r="I120" s="373"/>
      <c r="J120" s="435" t="s">
        <v>601</v>
      </c>
      <c r="K120" s="188" t="str">
        <f>INDEX(Odds!H:H,MATCH(J120,Odds!G:G,0))</f>
        <v>4/5</v>
      </c>
      <c r="L120" s="443">
        <f>INDEX(Odds!I:I,MATCH(J120,Odds!G:G,0))</f>
        <v>1.8</v>
      </c>
      <c r="M120" s="437">
        <f>INDEX(Odds!J:J,MATCH(J120,Odds!G:G,0))</f>
        <v>0</v>
      </c>
      <c r="N120" s="438">
        <f t="shared" si="11"/>
        <v>0</v>
      </c>
      <c r="O120" s="561"/>
      <c r="P120" s="58"/>
      <c r="R120" s="35" t="str">
        <f>IF(Odds!G120="","",Odds!G120)</f>
        <v>Tranmere</v>
      </c>
      <c r="S120" s="36" t="str">
        <f>INDEX(Odds!H:H,MATCH(R120,Odds!G:G,0))</f>
        <v>5/2</v>
      </c>
      <c r="T120" s="40">
        <f t="shared" si="10"/>
        <v>0</v>
      </c>
      <c r="AB120" s="565" t="str">
        <f>IF(O120="","",INDEX(Odds!H:H,MATCH(O120,Odds!G:G,0)))</f>
        <v/>
      </c>
      <c r="AC120" s="587">
        <f>IF(J120="","",INDEX(Odds!K:K,MATCH(J120,Odds!G:G,0)))</f>
        <v>1</v>
      </c>
      <c r="AD120" s="58"/>
      <c r="AE120" s="58"/>
      <c r="AF120" s="431"/>
      <c r="AG120" s="58"/>
    </row>
    <row r="121" spans="1:33" ht="13.5" thickBot="1">
      <c r="A121" s="624" t="str">
        <f>A119</f>
        <v>Paul Allen</v>
      </c>
      <c r="B121" s="444" t="str">
        <f t="shared" si="12"/>
        <v>Leeds</v>
      </c>
      <c r="C121" s="506">
        <f>IF(J121="","",INDEX(Odds!C:C,MATCH(J121,Odds!G:G,0)))</f>
        <v>6</v>
      </c>
      <c r="D121" s="445">
        <f t="shared" si="13"/>
        <v>1.6153846153846154</v>
      </c>
      <c r="E121" s="453" t="str">
        <f t="shared" si="9"/>
        <v>x</v>
      </c>
      <c r="F121" s="441"/>
      <c r="G121" s="442"/>
      <c r="H121" s="204"/>
      <c r="I121" s="373"/>
      <c r="J121" s="446" t="s">
        <v>618</v>
      </c>
      <c r="K121" s="189" t="str">
        <f>INDEX(Odds!H:H,MATCH(J121,Odds!G:G,0))</f>
        <v>8/13</v>
      </c>
      <c r="L121" s="447">
        <f>INDEX(Odds!I:I,MATCH(J121,Odds!G:G,0))</f>
        <v>1.6153846153846154</v>
      </c>
      <c r="M121" s="437">
        <f>INDEX(Odds!J:J,MATCH(J121,Odds!G:G,0))</f>
        <v>0</v>
      </c>
      <c r="N121" s="448">
        <f t="shared" si="11"/>
        <v>0</v>
      </c>
      <c r="O121" s="562"/>
      <c r="P121" s="58"/>
      <c r="R121" s="35" t="str">
        <f>IF(Odds!G121="","",Odds!G121)</f>
        <v>Newport</v>
      </c>
      <c r="S121" s="36" t="str">
        <f>INDEX(Odds!H:H,MATCH(R121,Odds!G:G,0))</f>
        <v>5/2</v>
      </c>
      <c r="T121" s="40">
        <f t="shared" si="10"/>
        <v>0</v>
      </c>
      <c r="AB121" s="566" t="str">
        <f>IF(O121="","",INDEX(Odds!H:H,MATCH(O121,Odds!G:G,0)))</f>
        <v/>
      </c>
      <c r="AC121" s="587">
        <f>IF(J121="","",INDEX(Odds!K:K,MATCH(J121,Odds!G:G,0)))</f>
        <v>1</v>
      </c>
      <c r="AD121" s="58"/>
      <c r="AE121" s="58"/>
      <c r="AF121" s="431"/>
      <c r="AG121" s="58"/>
    </row>
    <row r="122" spans="1:33" ht="13.9" thickTop="1" thickBot="1">
      <c r="A122" s="433" t="str">
        <f>Results!B122</f>
        <v>Paul Barnes</v>
      </c>
      <c r="B122" s="449" t="str">
        <f t="shared" si="12"/>
        <v>Man U</v>
      </c>
      <c r="C122" s="505">
        <f>IF(J122="","",INDEX(Odds!C:C,MATCH(J122,Odds!G:G,0)))</f>
        <v>7</v>
      </c>
      <c r="D122" s="434">
        <f t="shared" si="13"/>
        <v>2.2000000000000002</v>
      </c>
      <c r="E122" s="452" t="str">
        <f t="shared" si="9"/>
        <v>x</v>
      </c>
      <c r="F122" s="375">
        <f>IF(J122="",-10,INDEX(Results!T:T,MATCH(A122,Results!V:V,0)))</f>
        <v>7.5</v>
      </c>
      <c r="G122" s="186">
        <f>IF(J122="","",INDEX(Results!AI:AI,MATCH(A122,Results!V:V,0)))</f>
        <v>41.600000000000009</v>
      </c>
      <c r="H122" s="204">
        <f>IF(G122="",0,1)</f>
        <v>1</v>
      </c>
      <c r="I122" s="372">
        <f>INDEX(Picks!AG:AG,MATCH(A122,Picks!AD:AD,0))</f>
        <v>6</v>
      </c>
      <c r="J122" s="435" t="s">
        <v>640</v>
      </c>
      <c r="K122" s="187" t="str">
        <f>INDEX(Odds!H:H,MATCH(J122,Odds!G:G,0))</f>
        <v>6/5</v>
      </c>
      <c r="L122" s="436">
        <f>INDEX(Odds!I:I,MATCH(J122,Odds!G:G,0))</f>
        <v>2.2000000000000002</v>
      </c>
      <c r="M122" s="450">
        <f>INDEX(Odds!J:J,MATCH(J122,Odds!G:G,0))</f>
        <v>0</v>
      </c>
      <c r="N122" s="438">
        <f t="shared" si="11"/>
        <v>0</v>
      </c>
      <c r="O122" s="561"/>
      <c r="P122" s="58"/>
      <c r="R122" s="35" t="str">
        <f>IF(Odds!G122="","",Odds!G122)</f>
        <v>Doncaster</v>
      </c>
      <c r="S122" s="36" t="str">
        <f>INDEX(Odds!H:H,MATCH(R122,Odds!G:G,0))</f>
        <v>2/1</v>
      </c>
      <c r="T122" s="40">
        <f t="shared" si="10"/>
        <v>1</v>
      </c>
      <c r="AB122" s="565" t="str">
        <f>IF(O122="","",INDEX(Odds!H:H,MATCH(O122,Odds!G:G,0)))</f>
        <v/>
      </c>
      <c r="AC122" s="587">
        <f>IF(J122="","",INDEX(Odds!K:K,MATCH(J122,Odds!G:G,0)))</f>
        <v>1</v>
      </c>
      <c r="AD122" s="58"/>
      <c r="AE122" s="58"/>
      <c r="AF122" s="431"/>
      <c r="AG122" s="58"/>
    </row>
    <row r="123" spans="1:33">
      <c r="A123" s="623" t="str">
        <f>A122</f>
        <v>Paul Barnes</v>
      </c>
      <c r="B123" s="439" t="str">
        <f>IF(J123="","",J123)</f>
        <v>Man C draw</v>
      </c>
      <c r="C123" s="505">
        <f>IF(J123="","",INDEX(Odds!C:C,MATCH(J123,Odds!G:G,0)))</f>
        <v>1</v>
      </c>
      <c r="D123" s="440">
        <f t="shared" si="13"/>
        <v>4</v>
      </c>
      <c r="E123" s="453" t="str">
        <f t="shared" si="9"/>
        <v>√</v>
      </c>
      <c r="F123" s="441"/>
      <c r="G123" s="442"/>
      <c r="H123" s="204"/>
      <c r="I123" s="373"/>
      <c r="J123" s="435" t="s">
        <v>659</v>
      </c>
      <c r="K123" s="188" t="str">
        <f>INDEX(Odds!H:H,MATCH(J123,Odds!G:G,0))</f>
        <v>3/1</v>
      </c>
      <c r="L123" s="443">
        <f>INDEX(Odds!I:I,MATCH(J123,Odds!G:G,0))</f>
        <v>4</v>
      </c>
      <c r="M123" s="437">
        <f>INDEX(Odds!J:J,MATCH(J123,Odds!G:G,0))</f>
        <v>1</v>
      </c>
      <c r="N123" s="438">
        <f t="shared" si="11"/>
        <v>4</v>
      </c>
      <c r="O123" s="561"/>
      <c r="P123" s="58"/>
      <c r="R123" s="35" t="str">
        <f>IF(Odds!G123="","",Odds!G123)</f>
        <v>Stockport</v>
      </c>
      <c r="S123" s="36" t="str">
        <f>INDEX(Odds!H:H,MATCH(R123,Odds!G:G,0))</f>
        <v>13/20</v>
      </c>
      <c r="T123" s="40">
        <f t="shared" si="10"/>
        <v>1</v>
      </c>
      <c r="AB123" s="565" t="str">
        <f>IF(O123="","",INDEX(Odds!H:H,MATCH(O123,Odds!G:G,0)))</f>
        <v/>
      </c>
      <c r="AC123" s="587">
        <f>IF(J123="","",INDEX(Odds!K:K,MATCH(J123,Odds!G:G,0)))</f>
        <v>1</v>
      </c>
      <c r="AD123" s="58"/>
      <c r="AE123" s="58"/>
      <c r="AF123" s="431"/>
      <c r="AG123" s="58"/>
    </row>
    <row r="124" spans="1:33" ht="13.5" thickBot="1">
      <c r="A124" s="624" t="str">
        <f>A122</f>
        <v>Paul Barnes</v>
      </c>
      <c r="B124" s="444" t="str">
        <f t="shared" si="12"/>
        <v>Bournemouth</v>
      </c>
      <c r="C124" s="506">
        <f>IF(J124="","",INDEX(Odds!C:C,MATCH(J124,Odds!G:G,0)))</f>
        <v>7</v>
      </c>
      <c r="D124" s="445">
        <f t="shared" si="13"/>
        <v>2.1</v>
      </c>
      <c r="E124" s="453" t="str">
        <f t="shared" si="9"/>
        <v>√</v>
      </c>
      <c r="F124" s="441"/>
      <c r="G124" s="442"/>
      <c r="H124" s="204"/>
      <c r="I124" s="373"/>
      <c r="J124" s="648" t="s">
        <v>637</v>
      </c>
      <c r="K124" s="189" t="str">
        <f>INDEX(Odds!H:H,MATCH(J124,Odds!G:G,0))</f>
        <v>11/10</v>
      </c>
      <c r="L124" s="447">
        <f>INDEX(Odds!I:I,MATCH(J124,Odds!G:G,0))</f>
        <v>2.1</v>
      </c>
      <c r="M124" s="437">
        <f>INDEX(Odds!J:J,MATCH(J124,Odds!G:G,0))</f>
        <v>1</v>
      </c>
      <c r="N124" s="448">
        <f t="shared" si="11"/>
        <v>2.1</v>
      </c>
      <c r="O124" s="562"/>
      <c r="P124" s="58"/>
      <c r="R124" s="35" t="str">
        <f>IF(Odds!G124="","",Odds!G124)</f>
        <v>Crewe</v>
      </c>
      <c r="S124" s="36" t="str">
        <f>INDEX(Odds!H:H,MATCH(R124,Odds!G:G,0))</f>
        <v>5/2</v>
      </c>
      <c r="T124" s="40">
        <f t="shared" si="10"/>
        <v>0</v>
      </c>
      <c r="AB124" s="566" t="str">
        <f>IF(O124="","",INDEX(Odds!H:H,MATCH(O124,Odds!G:G,0)))</f>
        <v/>
      </c>
      <c r="AC124" s="587">
        <f>IF(J124="","",INDEX(Odds!K:K,MATCH(J124,Odds!G:G,0)))</f>
        <v>1</v>
      </c>
      <c r="AD124" s="58"/>
      <c r="AE124" s="58"/>
      <c r="AF124" s="431"/>
      <c r="AG124" s="58"/>
    </row>
    <row r="125" spans="1:33" ht="13.9" thickTop="1" thickBot="1">
      <c r="A125" s="433" t="str">
        <f>Results!B125</f>
        <v>Paul Fairhurst</v>
      </c>
      <c r="B125" s="449" t="str">
        <f t="shared" si="12"/>
        <v>Accrington draw</v>
      </c>
      <c r="C125" s="505">
        <f>IF(J125="","",INDEX(Odds!C:C,MATCH(J125,Odds!G:G,0)))</f>
        <v>6</v>
      </c>
      <c r="D125" s="434">
        <f t="shared" si="13"/>
        <v>3.6</v>
      </c>
      <c r="E125" s="452" t="str">
        <f t="shared" si="9"/>
        <v>x</v>
      </c>
      <c r="F125" s="375">
        <f>IF(J125="",-10,INDEX(Results!T:T,MATCH(A125,Results!V:V,0)))</f>
        <v>-7</v>
      </c>
      <c r="G125" s="186">
        <f>IF(J125="","",INDEX(Results!AI:AI,MATCH(A125,Results!V:V,0)))</f>
        <v>237.33333333333337</v>
      </c>
      <c r="H125" s="204">
        <f>IF(G125="",0,1)</f>
        <v>1</v>
      </c>
      <c r="I125" s="372">
        <f>INDEX(Picks!AG:AG,MATCH(A125,Picks!AD:AD,0))</f>
        <v>35</v>
      </c>
      <c r="J125" s="435" t="s">
        <v>656</v>
      </c>
      <c r="K125" s="187" t="str">
        <f>INDEX(Odds!H:H,MATCH(J125,Odds!G:G,0))</f>
        <v>13/5</v>
      </c>
      <c r="L125" s="436">
        <f>INDEX(Odds!I:I,MATCH(J125,Odds!G:G,0))</f>
        <v>3.6</v>
      </c>
      <c r="M125" s="450">
        <f>INDEX(Odds!J:J,MATCH(J125,Odds!G:G,0))</f>
        <v>0</v>
      </c>
      <c r="N125" s="438">
        <f t="shared" si="11"/>
        <v>0</v>
      </c>
      <c r="O125" s="561"/>
      <c r="P125" s="58"/>
      <c r="R125" s="35" t="str">
        <f>IF(Odds!G125="","",Odds!G125)</f>
        <v>Walsall</v>
      </c>
      <c r="S125" s="36" t="str">
        <f>INDEX(Odds!H:H,MATCH(R125,Odds!G:G,0))</f>
        <v>13/5</v>
      </c>
      <c r="T125" s="40">
        <f t="shared" si="10"/>
        <v>0</v>
      </c>
      <c r="AB125" s="565" t="str">
        <f>IF(O125="","",INDEX(Odds!H:H,MATCH(O125,Odds!G:G,0)))</f>
        <v/>
      </c>
      <c r="AC125" s="587">
        <f>IF(J125="","",INDEX(Odds!K:K,MATCH(J125,Odds!G:G,0)))</f>
        <v>1</v>
      </c>
      <c r="AD125" s="58"/>
      <c r="AE125" s="58"/>
      <c r="AF125" s="431"/>
      <c r="AG125" s="58"/>
    </row>
    <row r="126" spans="1:33">
      <c r="A126" s="623" t="str">
        <f>A125</f>
        <v>Paul Fairhurst</v>
      </c>
      <c r="B126" s="439" t="str">
        <f t="shared" si="12"/>
        <v>Burnley</v>
      </c>
      <c r="C126" s="505">
        <f>IF(J126="","",INDEX(Odds!C:C,MATCH(J126,Odds!G:G,0)))</f>
        <v>7</v>
      </c>
      <c r="D126" s="440">
        <f t="shared" si="13"/>
        <v>9</v>
      </c>
      <c r="E126" s="453" t="str">
        <f t="shared" si="9"/>
        <v>x</v>
      </c>
      <c r="F126" s="441"/>
      <c r="G126" s="442"/>
      <c r="H126" s="204"/>
      <c r="I126" s="373"/>
      <c r="J126" s="435" t="s">
        <v>642</v>
      </c>
      <c r="K126" s="188" t="str">
        <f>INDEX(Odds!H:H,MATCH(J126,Odds!G:G,0))</f>
        <v>8/1</v>
      </c>
      <c r="L126" s="443">
        <f>INDEX(Odds!I:I,MATCH(J126,Odds!G:G,0))</f>
        <v>9</v>
      </c>
      <c r="M126" s="437">
        <f>INDEX(Odds!J:J,MATCH(J126,Odds!G:G,0))</f>
        <v>0</v>
      </c>
      <c r="N126" s="438">
        <f t="shared" si="11"/>
        <v>0</v>
      </c>
      <c r="O126" s="561"/>
      <c r="P126" s="58"/>
      <c r="R126" s="35" t="str">
        <f>IF(Odds!G126="","",Odds!G126)</f>
        <v>Sutton</v>
      </c>
      <c r="S126" s="36" t="str">
        <f>INDEX(Odds!H:H,MATCH(R126,Odds!G:G,0))</f>
        <v>3/1</v>
      </c>
      <c r="T126" s="40">
        <f t="shared" si="10"/>
        <v>1</v>
      </c>
      <c r="AB126" s="565" t="str">
        <f>IF(O126="","",INDEX(Odds!H:H,MATCH(O126,Odds!G:G,0)))</f>
        <v/>
      </c>
      <c r="AC126" s="587">
        <f>IF(J126="","",INDEX(Odds!K:K,MATCH(J126,Odds!G:G,0)))</f>
        <v>1</v>
      </c>
      <c r="AD126" s="58"/>
      <c r="AE126" s="58"/>
      <c r="AF126" s="431"/>
      <c r="AG126" s="58"/>
    </row>
    <row r="127" spans="1:33" ht="13.5" thickBot="1">
      <c r="A127" s="624" t="str">
        <f>A125</f>
        <v>Paul Fairhurst</v>
      </c>
      <c r="B127" s="444" t="str">
        <f t="shared" si="12"/>
        <v>Villa draw</v>
      </c>
      <c r="C127" s="506">
        <f>IF(J127="","",INDEX(Odds!C:C,MATCH(J127,Odds!G:G,0)))</f>
        <v>7</v>
      </c>
      <c r="D127" s="445">
        <f t="shared" si="13"/>
        <v>4.3333333333333339</v>
      </c>
      <c r="E127" s="453" t="str">
        <f t="shared" si="9"/>
        <v>x</v>
      </c>
      <c r="F127" s="441"/>
      <c r="G127" s="442"/>
      <c r="H127" s="204"/>
      <c r="I127" s="373"/>
      <c r="J127" s="446" t="s">
        <v>658</v>
      </c>
      <c r="K127" s="189" t="str">
        <f>INDEX(Odds!H:H,MATCH(J127,Odds!G:G,0))</f>
        <v>10/3</v>
      </c>
      <c r="L127" s="447">
        <f>INDEX(Odds!I:I,MATCH(J127,Odds!G:G,0))</f>
        <v>4.3333333333333339</v>
      </c>
      <c r="M127" s="437">
        <f>INDEX(Odds!J:J,MATCH(J127,Odds!G:G,0))</f>
        <v>0</v>
      </c>
      <c r="N127" s="448">
        <f t="shared" si="11"/>
        <v>0</v>
      </c>
      <c r="O127" s="562"/>
      <c r="P127" s="58"/>
      <c r="R127" s="35" t="str">
        <f>IF(Odds!G127="","",Odds!G127)</f>
        <v>Notts Co</v>
      </c>
      <c r="S127" s="36" t="str">
        <f>INDEX(Odds!H:H,MATCH(R127,Odds!G:G,0))</f>
        <v>17/10</v>
      </c>
      <c r="T127" s="40">
        <f t="shared" si="10"/>
        <v>0</v>
      </c>
      <c r="AB127" s="566" t="str">
        <f>IF(O127="","",INDEX(Odds!H:H,MATCH(O127,Odds!G:G,0)))</f>
        <v/>
      </c>
      <c r="AC127" s="587">
        <f>IF(J127="","",INDEX(Odds!K:K,MATCH(J127,Odds!G:G,0)))</f>
        <v>1</v>
      </c>
      <c r="AD127" s="58"/>
      <c r="AE127" s="58"/>
      <c r="AF127" s="431"/>
      <c r="AG127" s="58"/>
    </row>
    <row r="128" spans="1:33" ht="13.9" thickTop="1" thickBot="1">
      <c r="A128" s="433" t="str">
        <f>Results!B128</f>
        <v>Pete Baron</v>
      </c>
      <c r="B128" s="449" t="str">
        <f t="shared" si="12"/>
        <v>Villa draw</v>
      </c>
      <c r="C128" s="505">
        <f>IF(J128="","",INDEX(Odds!C:C,MATCH(J128,Odds!G:G,0)))</f>
        <v>7</v>
      </c>
      <c r="D128" s="434">
        <f t="shared" si="13"/>
        <v>4.3333333333333339</v>
      </c>
      <c r="E128" s="452" t="str">
        <f t="shared" si="9"/>
        <v>x</v>
      </c>
      <c r="F128" s="375">
        <f>IF(J128="",-10,INDEX(Results!T:T,MATCH(A128,Results!V:V,0)))</f>
        <v>14</v>
      </c>
      <c r="G128" s="186">
        <f>IF(J128="","",INDEX(Results!AI:AI,MATCH(A128,Results!V:V,0)))</f>
        <v>109.33333333333334</v>
      </c>
      <c r="H128" s="204">
        <f>IF(G128="",0,1)</f>
        <v>1</v>
      </c>
      <c r="I128" s="372">
        <f>INDEX(Picks!AG:AG,MATCH(A128,Picks!AD:AD,0))</f>
        <v>2</v>
      </c>
      <c r="J128" s="435" t="s">
        <v>658</v>
      </c>
      <c r="K128" s="187" t="str">
        <f>INDEX(Odds!H:H,MATCH(J128,Odds!G:G,0))</f>
        <v>10/3</v>
      </c>
      <c r="L128" s="436">
        <f>INDEX(Odds!I:I,MATCH(J128,Odds!G:G,0))</f>
        <v>4.3333333333333339</v>
      </c>
      <c r="M128" s="450">
        <f>INDEX(Odds!J:J,MATCH(J128,Odds!G:G,0))</f>
        <v>0</v>
      </c>
      <c r="N128" s="438">
        <f t="shared" si="11"/>
        <v>0</v>
      </c>
      <c r="O128" s="561"/>
      <c r="P128" s="58"/>
      <c r="R128" s="35" t="str">
        <f>IF(Odds!G128="","",Odds!G128)</f>
        <v>Harrogate</v>
      </c>
      <c r="S128" s="36" t="str">
        <f>INDEX(Odds!H:H,MATCH(R128,Odds!G:G,0))</f>
        <v>24/5</v>
      </c>
      <c r="T128" s="40">
        <f t="shared" si="10"/>
        <v>0</v>
      </c>
      <c r="AB128" s="565" t="str">
        <f>IF(O128="","",INDEX(Odds!H:H,MATCH(O128,Odds!G:G,0)))</f>
        <v/>
      </c>
      <c r="AC128" s="587">
        <f>IF(J128="","",INDEX(Odds!K:K,MATCH(J128,Odds!G:G,0)))</f>
        <v>1</v>
      </c>
      <c r="AD128" s="58"/>
      <c r="AE128" s="58"/>
      <c r="AF128" s="431"/>
      <c r="AG128" s="58"/>
    </row>
    <row r="129" spans="1:33">
      <c r="A129" s="623" t="str">
        <f>A128</f>
        <v>Pete Baron</v>
      </c>
      <c r="B129" s="439" t="str">
        <f t="shared" si="12"/>
        <v>Man C draw</v>
      </c>
      <c r="C129" s="505">
        <f>IF(J129="","",INDEX(Odds!C:C,MATCH(J129,Odds!G:G,0)))</f>
        <v>1</v>
      </c>
      <c r="D129" s="440">
        <f t="shared" si="13"/>
        <v>4</v>
      </c>
      <c r="E129" s="453" t="str">
        <f t="shared" si="9"/>
        <v>√</v>
      </c>
      <c r="F129" s="441"/>
      <c r="G129" s="442"/>
      <c r="H129" s="204"/>
      <c r="I129" s="373"/>
      <c r="J129" s="435" t="s">
        <v>659</v>
      </c>
      <c r="K129" s="188" t="str">
        <f>INDEX(Odds!H:H,MATCH(J129,Odds!G:G,0))</f>
        <v>3/1</v>
      </c>
      <c r="L129" s="443">
        <f>INDEX(Odds!I:I,MATCH(J129,Odds!G:G,0))</f>
        <v>4</v>
      </c>
      <c r="M129" s="437">
        <f>INDEX(Odds!J:J,MATCH(J129,Odds!G:G,0))</f>
        <v>1</v>
      </c>
      <c r="N129" s="438">
        <f t="shared" si="11"/>
        <v>4</v>
      </c>
      <c r="O129" s="561"/>
      <c r="P129" s="58"/>
      <c r="R129" s="35" t="str">
        <f>IF(Odds!G129="","",Odds!G129)</f>
        <v>Mansfield</v>
      </c>
      <c r="S129" s="36" t="str">
        <f>INDEX(Odds!H:H,MATCH(R129,Odds!G:G,0))</f>
        <v>7/4</v>
      </c>
      <c r="T129" s="40">
        <f t="shared" si="10"/>
        <v>0</v>
      </c>
      <c r="AB129" s="565" t="str">
        <f>IF(O129="","",INDEX(Odds!H:H,MATCH(O129,Odds!G:G,0)))</f>
        <v/>
      </c>
      <c r="AC129" s="587">
        <f>IF(J129="","",INDEX(Odds!K:K,MATCH(J129,Odds!G:G,0)))</f>
        <v>1</v>
      </c>
      <c r="AD129" s="58"/>
      <c r="AE129" s="58"/>
      <c r="AF129" s="431"/>
      <c r="AG129" s="58"/>
    </row>
    <row r="130" spans="1:33" ht="13.5" thickBot="1">
      <c r="A130" s="624" t="str">
        <f>A128</f>
        <v>Pete Baron</v>
      </c>
      <c r="B130" s="444" t="str">
        <f t="shared" si="12"/>
        <v>Forest draw</v>
      </c>
      <c r="C130" s="506">
        <f>IF(J130="","",INDEX(Odds!C:C,MATCH(J130,Odds!G:G,0)))</f>
        <v>7</v>
      </c>
      <c r="D130" s="445">
        <f t="shared" si="13"/>
        <v>3.4</v>
      </c>
      <c r="E130" s="453" t="str">
        <f t="shared" si="9"/>
        <v>√</v>
      </c>
      <c r="F130" s="441"/>
      <c r="G130" s="442"/>
      <c r="H130" s="204"/>
      <c r="I130" s="373"/>
      <c r="J130" s="446" t="s">
        <v>660</v>
      </c>
      <c r="K130" s="189" t="str">
        <f>INDEX(Odds!H:H,MATCH(J130,Odds!G:G,0))</f>
        <v>12/5</v>
      </c>
      <c r="L130" s="447">
        <f>INDEX(Odds!I:I,MATCH(J130,Odds!G:G,0))</f>
        <v>3.4</v>
      </c>
      <c r="M130" s="437">
        <f>INDEX(Odds!J:J,MATCH(J130,Odds!G:G,0))</f>
        <v>1</v>
      </c>
      <c r="N130" s="448">
        <f t="shared" si="11"/>
        <v>3.4</v>
      </c>
      <c r="O130" s="562"/>
      <c r="P130" s="58"/>
      <c r="R130" s="35" t="str">
        <f>IF(Odds!G130="","",Odds!G130)</f>
        <v>Everton</v>
      </c>
      <c r="S130" s="36" t="str">
        <f>INDEX(Odds!H:H,MATCH(R130,Odds!G:G,0))</f>
        <v>11/5</v>
      </c>
      <c r="T130" s="40">
        <f t="shared" si="10"/>
        <v>0</v>
      </c>
      <c r="AB130" s="566" t="str">
        <f>IF(O130="","",INDEX(Odds!H:H,MATCH(O130,Odds!G:G,0)))</f>
        <v/>
      </c>
      <c r="AC130" s="587">
        <f>IF(J130="","",INDEX(Odds!K:K,MATCH(J130,Odds!G:G,0)))</f>
        <v>1</v>
      </c>
      <c r="AD130" s="58"/>
      <c r="AE130" s="58"/>
      <c r="AF130" s="431"/>
      <c r="AG130" s="58"/>
    </row>
    <row r="131" spans="1:33" ht="13.9" thickTop="1" thickBot="1">
      <c r="A131" s="433" t="str">
        <f>Results!B131</f>
        <v>Phil Miller</v>
      </c>
      <c r="B131" s="449" t="str">
        <f t="shared" si="12"/>
        <v>Norwich</v>
      </c>
      <c r="C131" s="505">
        <f>IF(J131="","",INDEX(Odds!C:C,MATCH(J131,Odds!G:G,0)))</f>
        <v>6</v>
      </c>
      <c r="D131" s="434">
        <f t="shared" si="13"/>
        <v>1.5</v>
      </c>
      <c r="E131" s="452" t="str">
        <f t="shared" ref="E131:E151" si="14">IF(J131="","",IF(M131=1,"√","x"))</f>
        <v>√</v>
      </c>
      <c r="F131" s="375">
        <f>IF(J131="",-10,INDEX(Results!T:T,MATCH(A131,Results!V:V,0)))</f>
        <v>-1.666666666666667</v>
      </c>
      <c r="G131" s="186">
        <f>IF(J131="","",INDEX(Results!AI:AI,MATCH(A131,Results!V:V,0)))</f>
        <v>6.4761904761904745</v>
      </c>
      <c r="H131" s="204">
        <f>IF(G131="",0,1)</f>
        <v>1</v>
      </c>
      <c r="I131" s="372">
        <f>INDEX(Picks!AG:AG,MATCH(A131,Picks!AD:AD,0))</f>
        <v>17</v>
      </c>
      <c r="J131" s="435" t="s">
        <v>609</v>
      </c>
      <c r="K131" s="187" t="str">
        <f>INDEX(Odds!H:H,MATCH(J131,Odds!G:G,0))</f>
        <v>1/2</v>
      </c>
      <c r="L131" s="436">
        <f>INDEX(Odds!I:I,MATCH(J131,Odds!G:G,0))</f>
        <v>1.5</v>
      </c>
      <c r="M131" s="450">
        <f>INDEX(Odds!J:J,MATCH(J131,Odds!G:G,0))</f>
        <v>1</v>
      </c>
      <c r="N131" s="438">
        <f t="shared" si="11"/>
        <v>1.5</v>
      </c>
      <c r="O131" s="561"/>
      <c r="P131" s="58"/>
      <c r="R131" s="35" t="str">
        <f>IF(Odds!G131="","",Odds!G131)</f>
        <v>Man U</v>
      </c>
      <c r="S131" s="36" t="str">
        <f>INDEX(Odds!H:H,MATCH(R131,Odds!G:G,0))</f>
        <v>6/5</v>
      </c>
      <c r="T131" s="40">
        <f t="shared" si="10"/>
        <v>0</v>
      </c>
      <c r="AB131" s="565" t="str">
        <f>IF(O131="","",INDEX(Odds!H:H,MATCH(O131,Odds!G:G,0)))</f>
        <v/>
      </c>
      <c r="AC131" s="587">
        <f>IF(J131="","",INDEX(Odds!K:K,MATCH(J131,Odds!G:G,0)))</f>
        <v>1</v>
      </c>
      <c r="AD131" s="58"/>
      <c r="AE131" s="58"/>
      <c r="AF131" s="431"/>
      <c r="AG131" s="58"/>
    </row>
    <row r="132" spans="1:33">
      <c r="A132" s="623" t="str">
        <f>A131</f>
        <v>Phil Miller</v>
      </c>
      <c r="B132" s="439" t="str">
        <f t="shared" si="12"/>
        <v>Preston</v>
      </c>
      <c r="C132" s="505">
        <f>IF(J132="","",INDEX(Odds!C:C,MATCH(J132,Odds!G:G,0)))</f>
        <v>6</v>
      </c>
      <c r="D132" s="440">
        <f t="shared" si="13"/>
        <v>1.5333333333333332</v>
      </c>
      <c r="E132" s="453" t="str">
        <f t="shared" si="14"/>
        <v>√</v>
      </c>
      <c r="F132" s="441"/>
      <c r="G132" s="442"/>
      <c r="H132" s="204"/>
      <c r="I132" s="373"/>
      <c r="J132" s="435" t="s">
        <v>517</v>
      </c>
      <c r="K132" s="188" t="str">
        <f>INDEX(Odds!H:H,MATCH(J132,Odds!G:G,0))</f>
        <v>8/15</v>
      </c>
      <c r="L132" s="443">
        <f>INDEX(Odds!I:I,MATCH(J132,Odds!G:G,0))</f>
        <v>1.5333333333333332</v>
      </c>
      <c r="M132" s="437">
        <f>INDEX(Odds!J:J,MATCH(J132,Odds!G:G,0))</f>
        <v>1</v>
      </c>
      <c r="N132" s="438">
        <f t="shared" si="11"/>
        <v>1.5333333333333332</v>
      </c>
      <c r="O132" s="561"/>
      <c r="P132" s="58"/>
      <c r="R132" s="35" t="str">
        <f>IF(Odds!G132="","",Odds!G132)</f>
        <v>Burnley</v>
      </c>
      <c r="S132" s="36" t="str">
        <f>INDEX(Odds!H:H,MATCH(R132,Odds!G:G,0))</f>
        <v>8/1</v>
      </c>
      <c r="T132" s="40">
        <f t="shared" si="10"/>
        <v>0</v>
      </c>
      <c r="AB132" s="565" t="str">
        <f>IF(O132="","",INDEX(Odds!H:H,MATCH(O132,Odds!G:G,0)))</f>
        <v/>
      </c>
      <c r="AC132" s="587">
        <f>IF(J132="","",INDEX(Odds!K:K,MATCH(J132,Odds!G:G,0)))</f>
        <v>1</v>
      </c>
      <c r="AD132" s="58"/>
      <c r="AE132" s="58"/>
      <c r="AF132" s="431"/>
      <c r="AG132" s="58"/>
    </row>
    <row r="133" spans="1:33" ht="13.5" thickBot="1">
      <c r="A133" s="624" t="str">
        <f>A131</f>
        <v>Phil Miller</v>
      </c>
      <c r="B133" s="444" t="str">
        <f t="shared" si="12"/>
        <v>Peterborough</v>
      </c>
      <c r="C133" s="506">
        <f>IF(J133="","",INDEX(Odds!C:C,MATCH(J133,Odds!G:G,0)))</f>
        <v>6</v>
      </c>
      <c r="D133" s="445">
        <f t="shared" si="13"/>
        <v>1.2857142857142856</v>
      </c>
      <c r="E133" s="453" t="str">
        <f t="shared" si="14"/>
        <v>x</v>
      </c>
      <c r="F133" s="441"/>
      <c r="G133" s="442"/>
      <c r="H133" s="204"/>
      <c r="I133" s="373"/>
      <c r="J133" s="446" t="s">
        <v>628</v>
      </c>
      <c r="K133" s="189" t="str">
        <f>INDEX(Odds!H:H,MATCH(J133,Odds!G:G,0))</f>
        <v>2/7</v>
      </c>
      <c r="L133" s="447">
        <f>INDEX(Odds!I:I,MATCH(J133,Odds!G:G,0))</f>
        <v>1.2857142857142856</v>
      </c>
      <c r="M133" s="437">
        <f>INDEX(Odds!J:J,MATCH(J133,Odds!G:G,0))</f>
        <v>0</v>
      </c>
      <c r="N133" s="448">
        <f t="shared" si="11"/>
        <v>0</v>
      </c>
      <c r="O133" s="562"/>
      <c r="P133" s="58"/>
      <c r="R133" s="35" t="str">
        <f>IF(Odds!G133="","",Odds!G133)</f>
        <v>Palace</v>
      </c>
      <c r="S133" s="36" t="str">
        <f>INDEX(Odds!H:H,MATCH(R133,Odds!G:G,0))</f>
        <v>11/5</v>
      </c>
      <c r="T133" s="40">
        <f t="shared" si="10"/>
        <v>0</v>
      </c>
      <c r="AB133" s="566" t="str">
        <f>IF(O133="","",INDEX(Odds!H:H,MATCH(O133,Odds!G:G,0)))</f>
        <v/>
      </c>
      <c r="AC133" s="587">
        <f>IF(J133="","",INDEX(Odds!K:K,MATCH(J133,Odds!G:G,0)))</f>
        <v>1</v>
      </c>
      <c r="AD133" s="58"/>
      <c r="AE133" s="58"/>
      <c r="AF133" s="431"/>
      <c r="AG133" s="58"/>
    </row>
    <row r="134" spans="1:33" ht="13.9" thickTop="1" thickBot="1">
      <c r="A134" s="433" t="str">
        <f>Results!B134</f>
        <v>Rob England</v>
      </c>
      <c r="B134" s="449" t="str">
        <f t="shared" si="12"/>
        <v>Reading</v>
      </c>
      <c r="C134" s="505">
        <f>IF(J134="","",INDEX(Odds!C:C,MATCH(J134,Odds!G:G,0)))</f>
        <v>6</v>
      </c>
      <c r="D134" s="434">
        <f t="shared" si="13"/>
        <v>1.7</v>
      </c>
      <c r="E134" s="452" t="str">
        <f t="shared" si="14"/>
        <v>√</v>
      </c>
      <c r="F134" s="375">
        <f>IF(J134="",-10,INDEX(Results!T:T,MATCH(A134,Results!V:V,0)))</f>
        <v>-0.84500000000000064</v>
      </c>
      <c r="G134" s="186">
        <f>IF(J134="","",INDEX(Results!AI:AI,MATCH(A134,Results!V:V,0)))</f>
        <v>10.125999999999998</v>
      </c>
      <c r="H134" s="204">
        <f>IF(G134="",0,1)</f>
        <v>1</v>
      </c>
      <c r="I134" s="372">
        <f>INDEX(Picks!AG:AG,MATCH(A134,Picks!AD:AD,0))</f>
        <v>15</v>
      </c>
      <c r="J134" s="435" t="s">
        <v>630</v>
      </c>
      <c r="K134" s="187" t="str">
        <f>INDEX(Odds!H:H,MATCH(J134,Odds!G:G,0))</f>
        <v>7/10</v>
      </c>
      <c r="L134" s="436">
        <f>INDEX(Odds!I:I,MATCH(J134,Odds!G:G,0))</f>
        <v>1.7</v>
      </c>
      <c r="M134" s="450">
        <f>INDEX(Odds!J:J,MATCH(J134,Odds!G:G,0))</f>
        <v>1</v>
      </c>
      <c r="N134" s="438">
        <f t="shared" si="11"/>
        <v>1.7</v>
      </c>
      <c r="O134" s="561"/>
      <c r="P134" s="58"/>
      <c r="R134" s="35" t="str">
        <f>IF(Odds!G134="","",Odds!G134)</f>
        <v>West Ham</v>
      </c>
      <c r="S134" s="36" t="str">
        <f>INDEX(Odds!H:H,MATCH(R134,Odds!G:G,0))</f>
        <v>27/10</v>
      </c>
      <c r="T134" s="40">
        <f t="shared" si="10"/>
        <v>0</v>
      </c>
      <c r="AB134" s="565" t="str">
        <f>IF(O134="","",INDEX(Odds!H:H,MATCH(O134,Odds!G:G,0)))</f>
        <v/>
      </c>
      <c r="AC134" s="587">
        <f>IF(J134="","",INDEX(Odds!K:K,MATCH(J134,Odds!G:G,0)))</f>
        <v>1</v>
      </c>
      <c r="AD134" s="58"/>
      <c r="AE134" s="58"/>
      <c r="AF134" s="431"/>
      <c r="AG134" s="58"/>
    </row>
    <row r="135" spans="1:33">
      <c r="A135" s="623" t="str">
        <f>A134</f>
        <v>Rob England</v>
      </c>
      <c r="B135" s="439" t="str">
        <f t="shared" si="12"/>
        <v>Barnsley</v>
      </c>
      <c r="C135" s="505">
        <f>IF(J135="","",INDEX(Odds!C:C,MATCH(J135,Odds!G:G,0)))</f>
        <v>6</v>
      </c>
      <c r="D135" s="440">
        <f t="shared" si="13"/>
        <v>1.5333333333333332</v>
      </c>
      <c r="E135" s="453" t="str">
        <f t="shared" si="14"/>
        <v>x</v>
      </c>
      <c r="F135" s="441"/>
      <c r="G135" s="442"/>
      <c r="H135" s="204"/>
      <c r="I135" s="373"/>
      <c r="J135" s="435" t="s">
        <v>619</v>
      </c>
      <c r="K135" s="188" t="str">
        <f>INDEX(Odds!H:H,MATCH(J135,Odds!G:G,0))</f>
        <v>8/15</v>
      </c>
      <c r="L135" s="443">
        <f>INDEX(Odds!I:I,MATCH(J135,Odds!G:G,0))</f>
        <v>1.5333333333333332</v>
      </c>
      <c r="M135" s="437">
        <f>INDEX(Odds!J:J,MATCH(J135,Odds!G:G,0))</f>
        <v>0</v>
      </c>
      <c r="N135" s="438">
        <f t="shared" si="11"/>
        <v>0</v>
      </c>
      <c r="O135" s="561"/>
      <c r="P135" s="58"/>
      <c r="R135" s="35" t="str">
        <f>IF(Odds!G135="","",Odds!G135)</f>
        <v>Fulham</v>
      </c>
      <c r="S135" s="36" t="str">
        <f>INDEX(Odds!H:H,MATCH(R135,Odds!G:G,0))</f>
        <v>7/10</v>
      </c>
      <c r="T135" s="40">
        <f t="shared" si="10"/>
        <v>0</v>
      </c>
      <c r="AB135" s="565" t="str">
        <f>IF(O135="","",INDEX(Odds!H:H,MATCH(O135,Odds!G:G,0)))</f>
        <v/>
      </c>
      <c r="AC135" s="587">
        <f>IF(J135="","",INDEX(Odds!K:K,MATCH(J135,Odds!G:G,0)))</f>
        <v>1</v>
      </c>
      <c r="AD135" s="58"/>
      <c r="AE135" s="58"/>
      <c r="AF135" s="431"/>
      <c r="AG135" s="58"/>
    </row>
    <row r="136" spans="1:33" ht="13.5" thickBot="1">
      <c r="A136" s="624" t="str">
        <f>A134</f>
        <v>Rob England</v>
      </c>
      <c r="B136" s="444" t="str">
        <f t="shared" si="12"/>
        <v>Villa</v>
      </c>
      <c r="C136" s="506">
        <f>IF(J136="","",INDEX(Odds!C:C,MATCH(J136,Odds!G:G,0)))</f>
        <v>7</v>
      </c>
      <c r="D136" s="445">
        <f t="shared" si="13"/>
        <v>1.65</v>
      </c>
      <c r="E136" s="453" t="str">
        <f t="shared" si="14"/>
        <v>√</v>
      </c>
      <c r="F136" s="441"/>
      <c r="G136" s="442"/>
      <c r="H136" s="204"/>
      <c r="I136" s="373"/>
      <c r="J136" s="446" t="s">
        <v>426</v>
      </c>
      <c r="K136" s="189" t="str">
        <f>INDEX(Odds!H:H,MATCH(J136,Odds!G:G,0))</f>
        <v>13/20</v>
      </c>
      <c r="L136" s="447">
        <f>INDEX(Odds!I:I,MATCH(J136,Odds!G:G,0))</f>
        <v>1.65</v>
      </c>
      <c r="M136" s="437">
        <f>INDEX(Odds!J:J,MATCH(J136,Odds!G:G,0))</f>
        <v>1</v>
      </c>
      <c r="N136" s="448">
        <f t="shared" si="11"/>
        <v>1.65</v>
      </c>
      <c r="O136" s="562"/>
      <c r="P136" s="58"/>
      <c r="R136" s="35" t="str">
        <f>IF(Odds!G136="","",Odds!G136)</f>
        <v>Luton</v>
      </c>
      <c r="S136" s="36" t="str">
        <f>INDEX(Odds!H:H,MATCH(R136,Odds!G:G,0))</f>
        <v>9/1</v>
      </c>
      <c r="T136" s="40">
        <f t="shared" si="10"/>
        <v>0</v>
      </c>
      <c r="AB136" s="566" t="str">
        <f>IF(O136="","",INDEX(Odds!H:H,MATCH(O136,Odds!G:G,0)))</f>
        <v/>
      </c>
      <c r="AC136" s="587">
        <f>IF(J136="","",INDEX(Odds!K:K,MATCH(J136,Odds!G:G,0)))</f>
        <v>1</v>
      </c>
      <c r="AD136" s="58"/>
      <c r="AE136" s="58"/>
      <c r="AF136" s="431"/>
      <c r="AG136" s="58"/>
    </row>
    <row r="137" spans="1:33" ht="13.9" thickTop="1" thickBot="1">
      <c r="A137" s="433" t="str">
        <f>Results!B137</f>
        <v>Simon Greenhalgh</v>
      </c>
      <c r="B137" s="449" t="str">
        <f t="shared" si="12"/>
        <v>Forest draw</v>
      </c>
      <c r="C137" s="505">
        <f>IF(J137="","",INDEX(Odds!C:C,MATCH(J137,Odds!G:G,0)))</f>
        <v>7</v>
      </c>
      <c r="D137" s="434">
        <f t="shared" si="13"/>
        <v>3.4</v>
      </c>
      <c r="E137" s="452" t="str">
        <f t="shared" si="14"/>
        <v>√</v>
      </c>
      <c r="F137" s="375">
        <f>IF(J137="",-10,INDEX(Results!T:T,MATCH(A137,Results!V:V,0)))</f>
        <v>-3.6</v>
      </c>
      <c r="G137" s="186">
        <f>IF(J137="","",INDEX(Results!AI:AI,MATCH(A137,Results!V:V,0)))</f>
        <v>109.33333333333334</v>
      </c>
      <c r="H137" s="204">
        <f>IF(G137="",0,1)</f>
        <v>1</v>
      </c>
      <c r="I137" s="372">
        <f>INDEX(Picks!AG:AG,MATCH(A137,Picks!AD:AD,0))</f>
        <v>19</v>
      </c>
      <c r="J137" s="435" t="s">
        <v>660</v>
      </c>
      <c r="K137" s="187" t="str">
        <f>INDEX(Odds!H:H,MATCH(J137,Odds!G:G,0))</f>
        <v>12/5</v>
      </c>
      <c r="L137" s="436">
        <f>INDEX(Odds!I:I,MATCH(J137,Odds!G:G,0))</f>
        <v>3.4</v>
      </c>
      <c r="M137" s="450">
        <f>INDEX(Odds!J:J,MATCH(J137,Odds!G:G,0))</f>
        <v>1</v>
      </c>
      <c r="N137" s="438">
        <f t="shared" si="11"/>
        <v>3.4</v>
      </c>
      <c r="O137" s="561"/>
      <c r="P137" s="58"/>
      <c r="R137" s="35" t="str">
        <f>IF(Odds!G137="","",Odds!G137)</f>
        <v>Wolves</v>
      </c>
      <c r="S137" s="36" t="str">
        <f>INDEX(Odds!H:H,MATCH(R137,Odds!G:G,0))</f>
        <v>7/2</v>
      </c>
      <c r="T137" s="40">
        <f t="shared" si="10"/>
        <v>0</v>
      </c>
      <c r="AB137" s="565" t="str">
        <f>IF(O137="","",INDEX(Odds!H:H,MATCH(O137,Odds!G:G,0)))</f>
        <v/>
      </c>
      <c r="AC137" s="587">
        <f>IF(J137="","",INDEX(Odds!K:K,MATCH(J137,Odds!G:G,0)))</f>
        <v>1</v>
      </c>
      <c r="AD137" s="58"/>
      <c r="AE137" s="58"/>
      <c r="AF137" s="431"/>
      <c r="AG137" s="58"/>
    </row>
    <row r="138" spans="1:33">
      <c r="A138" s="623" t="str">
        <f>A137</f>
        <v>Simon Greenhalgh</v>
      </c>
      <c r="B138" s="439" t="str">
        <f t="shared" si="12"/>
        <v>Newcastle draw</v>
      </c>
      <c r="C138" s="505">
        <f>IF(J138="","",INDEX(Odds!C:C,MATCH(J138,Odds!G:G,0)))</f>
        <v>7</v>
      </c>
      <c r="D138" s="440">
        <f t="shared" si="13"/>
        <v>4</v>
      </c>
      <c r="E138" s="453" t="str">
        <f t="shared" si="14"/>
        <v>x</v>
      </c>
      <c r="F138" s="441"/>
      <c r="G138" s="442"/>
      <c r="H138" s="204"/>
      <c r="I138" s="373"/>
      <c r="J138" s="435" t="s">
        <v>661</v>
      </c>
      <c r="K138" s="188" t="str">
        <f>INDEX(Odds!H:H,MATCH(J138,Odds!G:G,0))</f>
        <v>3/1</v>
      </c>
      <c r="L138" s="443">
        <f>INDEX(Odds!I:I,MATCH(J138,Odds!G:G,0))</f>
        <v>4</v>
      </c>
      <c r="M138" s="437">
        <f>INDEX(Odds!J:J,MATCH(J138,Odds!G:G,0))</f>
        <v>0</v>
      </c>
      <c r="N138" s="438">
        <f t="shared" si="11"/>
        <v>0</v>
      </c>
      <c r="O138" s="561"/>
      <c r="P138" s="58"/>
      <c r="R138" s="35" t="str">
        <f>IF(Odds!G138="","",Odds!G138)</f>
        <v>Brighton</v>
      </c>
      <c r="S138" s="36" t="str">
        <f>INDEX(Odds!H:H,MATCH(R138,Odds!G:G,0))</f>
        <v>13/2</v>
      </c>
      <c r="T138" s="40">
        <f t="shared" si="10"/>
        <v>0</v>
      </c>
      <c r="AB138" s="565" t="str">
        <f>IF(O138="","",INDEX(Odds!H:H,MATCH(O138,Odds!G:G,0)))</f>
        <v/>
      </c>
      <c r="AC138" s="587">
        <f>IF(J138="","",INDEX(Odds!K:K,MATCH(J138,Odds!G:G,0)))</f>
        <v>1</v>
      </c>
      <c r="AD138" s="58"/>
      <c r="AE138" s="58"/>
      <c r="AF138" s="431"/>
      <c r="AG138" s="58"/>
    </row>
    <row r="139" spans="1:33" ht="13.5" thickBot="1">
      <c r="A139" s="624" t="str">
        <f>A137</f>
        <v>Simon Greenhalgh</v>
      </c>
      <c r="B139" s="444" t="str">
        <f t="shared" si="12"/>
        <v>Villa draw</v>
      </c>
      <c r="C139" s="506">
        <f>IF(J139="","",INDEX(Odds!C:C,MATCH(J139,Odds!G:G,0)))</f>
        <v>7</v>
      </c>
      <c r="D139" s="445">
        <f t="shared" si="13"/>
        <v>4.3333333333333339</v>
      </c>
      <c r="E139" s="601" t="str">
        <f t="shared" si="14"/>
        <v>x</v>
      </c>
      <c r="F139" s="602"/>
      <c r="G139" s="603"/>
      <c r="H139" s="204"/>
      <c r="I139" s="373"/>
      <c r="J139" s="446" t="s">
        <v>658</v>
      </c>
      <c r="K139" s="189" t="str">
        <f>INDEX(Odds!H:H,MATCH(J139,Odds!G:G,0))</f>
        <v>10/3</v>
      </c>
      <c r="L139" s="447">
        <f>INDEX(Odds!I:I,MATCH(J139,Odds!G:G,0))</f>
        <v>4.3333333333333339</v>
      </c>
      <c r="M139" s="437">
        <f>INDEX(Odds!J:J,MATCH(J139,Odds!G:G,0))</f>
        <v>0</v>
      </c>
      <c r="N139" s="448">
        <f t="shared" si="11"/>
        <v>0</v>
      </c>
      <c r="O139" s="562"/>
      <c r="P139" s="58"/>
      <c r="R139" s="41" t="str">
        <f>IF(Odds!G139="","",Odds!G139)</f>
        <v>Arsenal</v>
      </c>
      <c r="S139" s="42" t="str">
        <f>INDEX(Odds!H:H,MATCH(R139,Odds!G:G,0))</f>
        <v>14/5</v>
      </c>
      <c r="T139" s="43">
        <f t="shared" si="10"/>
        <v>0</v>
      </c>
      <c r="AB139" s="566" t="str">
        <f>IF(O139="","",INDEX(Odds!H:H,MATCH(O139,Odds!G:G,0)))</f>
        <v/>
      </c>
      <c r="AC139" s="587">
        <f>IF(J139="","",INDEX(Odds!K:K,MATCH(J139,Odds!G:G,0)))</f>
        <v>1</v>
      </c>
      <c r="AD139" s="58"/>
      <c r="AE139" s="58"/>
      <c r="AF139" s="431"/>
      <c r="AG139" s="58"/>
    </row>
    <row r="140" spans="1:33" ht="13.9" thickTop="1" thickBot="1">
      <c r="A140" s="433" t="str">
        <f>Results!B140</f>
        <v>Stephen Barr</v>
      </c>
      <c r="B140" s="449" t="str">
        <f t="shared" si="12"/>
        <v>Newcastle</v>
      </c>
      <c r="C140" s="505">
        <f>IF(J140="","",INDEX(Odds!C:C,MATCH(J140,Odds!G:G,0)))</f>
        <v>7</v>
      </c>
      <c r="D140" s="434">
        <f t="shared" si="13"/>
        <v>1.85</v>
      </c>
      <c r="E140" s="452" t="str">
        <f t="shared" si="14"/>
        <v>√</v>
      </c>
      <c r="F140" s="658">
        <f>IF(J140="",-10,INDEX(Results!T:T,MATCH(A140,Results!V:V,0)))</f>
        <v>1.6187500000000004</v>
      </c>
      <c r="G140" s="659">
        <f>IF(J140="","",INDEX(Results!AI:AI,MATCH(A140,Results!V:V,0)))</f>
        <v>37.20812500000001</v>
      </c>
      <c r="H140" s="204">
        <f>IF(G140="",0,1)</f>
        <v>1</v>
      </c>
      <c r="I140" s="372">
        <f>INDEX(Picks!AG:AG,MATCH(A140,Picks!AD:AD,0))</f>
        <v>8</v>
      </c>
      <c r="J140" s="435" t="s">
        <v>644</v>
      </c>
      <c r="K140" s="187" t="str">
        <f>INDEX(Odds!H:H,MATCH(J140,Odds!G:G,0))</f>
        <v>17/20</v>
      </c>
      <c r="L140" s="436">
        <f>INDEX(Odds!I:I,MATCH(J140,Odds!G:G,0))</f>
        <v>1.85</v>
      </c>
      <c r="M140" s="450">
        <f>INDEX(Odds!J:J,MATCH(J140,Odds!G:G,0))</f>
        <v>1</v>
      </c>
      <c r="N140" s="438">
        <f t="shared" si="11"/>
        <v>1.85</v>
      </c>
      <c r="O140" s="561"/>
      <c r="P140" s="58"/>
      <c r="AB140" s="565" t="str">
        <f>IF(O140="","",INDEX(Odds!H:H,MATCH(O140,Odds!G:G,0)))</f>
        <v/>
      </c>
      <c r="AC140" s="587">
        <f>IF(J140="","",INDEX(Odds!K:K,MATCH(J140,Odds!G:G,0)))</f>
        <v>1</v>
      </c>
      <c r="AD140" s="58"/>
      <c r="AE140" s="58"/>
      <c r="AF140" s="431"/>
      <c r="AG140" s="58"/>
    </row>
    <row r="141" spans="1:33">
      <c r="A141" s="623" t="str">
        <f>A140</f>
        <v>Stephen Barr</v>
      </c>
      <c r="B141" s="439" t="str">
        <f t="shared" si="12"/>
        <v>Bournemouth draw</v>
      </c>
      <c r="C141" s="505">
        <f>IF(J141="","",INDEX(Odds!C:C,MATCH(J141,Odds!G:G,0)))</f>
        <v>7</v>
      </c>
      <c r="D141" s="440">
        <f t="shared" si="13"/>
        <v>3.7</v>
      </c>
      <c r="E141" s="453" t="str">
        <f t="shared" si="14"/>
        <v>x</v>
      </c>
      <c r="F141" s="441"/>
      <c r="G141" s="442"/>
      <c r="H141" s="204"/>
      <c r="I141" s="373"/>
      <c r="J141" s="435" t="s">
        <v>664</v>
      </c>
      <c r="K141" s="188" t="str">
        <f>INDEX(Odds!H:H,MATCH(J141,Odds!G:G,0))</f>
        <v>27/10</v>
      </c>
      <c r="L141" s="443">
        <f>INDEX(Odds!I:I,MATCH(J141,Odds!G:G,0))</f>
        <v>3.7</v>
      </c>
      <c r="M141" s="437">
        <f>INDEX(Odds!J:J,MATCH(J141,Odds!G:G,0))</f>
        <v>0</v>
      </c>
      <c r="N141" s="438">
        <f t="shared" si="11"/>
        <v>0</v>
      </c>
      <c r="O141" s="561"/>
      <c r="P141" s="58"/>
      <c r="AB141" s="565" t="str">
        <f>IF(O141="","",INDEX(Odds!H:H,MATCH(O141,Odds!G:G,0)))</f>
        <v/>
      </c>
      <c r="AC141" s="587">
        <f>IF(J141="","",INDEX(Odds!K:K,MATCH(J141,Odds!G:G,0)))</f>
        <v>1</v>
      </c>
      <c r="AD141" s="58"/>
      <c r="AE141" s="58"/>
      <c r="AF141" s="431"/>
      <c r="AG141" s="58"/>
    </row>
    <row r="142" spans="1:33" ht="13.5" thickBot="1">
      <c r="A142" s="624" t="str">
        <f>A140</f>
        <v>Stephen Barr</v>
      </c>
      <c r="B142" s="444" t="str">
        <f t="shared" si="12"/>
        <v>Coventry</v>
      </c>
      <c r="C142" s="506">
        <f>IF(J142="","",INDEX(Odds!C:C,MATCH(J142,Odds!G:G,0)))</f>
        <v>6</v>
      </c>
      <c r="D142" s="445">
        <f t="shared" si="13"/>
        <v>2.375</v>
      </c>
      <c r="E142" s="453" t="str">
        <f t="shared" si="14"/>
        <v>√</v>
      </c>
      <c r="F142" s="441"/>
      <c r="G142" s="442"/>
      <c r="H142" s="204"/>
      <c r="I142" s="373"/>
      <c r="J142" s="446" t="s">
        <v>604</v>
      </c>
      <c r="K142" s="189" t="str">
        <f>INDEX(Odds!H:H,MATCH(J142,Odds!G:G,0))</f>
        <v>11/8</v>
      </c>
      <c r="L142" s="447">
        <f>INDEX(Odds!I:I,MATCH(J142,Odds!G:G,0))</f>
        <v>2.375</v>
      </c>
      <c r="M142" s="437">
        <f>INDEX(Odds!J:J,MATCH(J142,Odds!G:G,0))</f>
        <v>1</v>
      </c>
      <c r="N142" s="448">
        <f t="shared" si="11"/>
        <v>2.375</v>
      </c>
      <c r="O142" s="562"/>
      <c r="P142" s="58"/>
      <c r="AB142" s="566" t="str">
        <f>IF(O142="","",INDEX(Odds!H:H,MATCH(O142,Odds!G:G,0)))</f>
        <v/>
      </c>
      <c r="AC142" s="587">
        <f>IF(J142="","",INDEX(Odds!K:K,MATCH(J142,Odds!G:G,0)))</f>
        <v>1</v>
      </c>
      <c r="AD142" s="58"/>
      <c r="AE142" s="58"/>
      <c r="AF142" s="431"/>
      <c r="AG142" s="58"/>
    </row>
    <row r="143" spans="1:33" ht="13.9" thickTop="1" thickBot="1">
      <c r="A143" s="433" t="str">
        <f>Results!B143</f>
        <v>Steve Carter</v>
      </c>
      <c r="B143" s="449" t="str">
        <f t="shared" si="12"/>
        <v>Ipswich</v>
      </c>
      <c r="C143" s="505">
        <f>IF(J143="","",INDEX(Odds!C:C,MATCH(J143,Odds!G:G,0)))</f>
        <v>6</v>
      </c>
      <c r="D143" s="434">
        <f t="shared" si="13"/>
        <v>1.85</v>
      </c>
      <c r="E143" s="452" t="str">
        <f t="shared" si="14"/>
        <v>√</v>
      </c>
      <c r="F143" s="375">
        <f>IF(J143="",-10,INDEX(Results!T:T,MATCH(A143,Results!V:V,0)))</f>
        <v>0.83500000000000085</v>
      </c>
      <c r="G143" s="186">
        <f>IF(J143="","",INDEX(Results!AI:AI,MATCH(A143,Results!V:V,0)))</f>
        <v>15.854500000000002</v>
      </c>
      <c r="H143" s="204">
        <f>IF(G143="",0,1)</f>
        <v>1</v>
      </c>
      <c r="I143" s="372">
        <f>INDEX(Picks!AG:AG,MATCH(A143,Picks!AD:AD,0))</f>
        <v>9</v>
      </c>
      <c r="J143" s="435" t="s">
        <v>599</v>
      </c>
      <c r="K143" s="187" t="str">
        <f>INDEX(Odds!H:H,MATCH(J143,Odds!G:G,0))</f>
        <v>17/20</v>
      </c>
      <c r="L143" s="436">
        <f>INDEX(Odds!I:I,MATCH(J143,Odds!G:G,0))</f>
        <v>1.85</v>
      </c>
      <c r="M143" s="450">
        <f>INDEX(Odds!J:J,MATCH(J143,Odds!G:G,0))</f>
        <v>1</v>
      </c>
      <c r="N143" s="438">
        <f t="shared" si="11"/>
        <v>1.85</v>
      </c>
      <c r="O143" s="561"/>
      <c r="P143" s="58"/>
      <c r="AB143" s="565" t="str">
        <f>IF(O143="","",INDEX(Odds!H:H,MATCH(O143,Odds!G:G,0)))</f>
        <v/>
      </c>
      <c r="AC143" s="587">
        <f>IF(J143="","",INDEX(Odds!K:K,MATCH(J143,Odds!G:G,0)))</f>
        <v>1</v>
      </c>
      <c r="AD143" s="58"/>
      <c r="AE143" s="58"/>
      <c r="AF143" s="431"/>
      <c r="AG143" s="58"/>
    </row>
    <row r="144" spans="1:33">
      <c r="A144" s="623" t="str">
        <f>A143</f>
        <v>Steve Carter</v>
      </c>
      <c r="B144" s="439" t="str">
        <f t="shared" si="12"/>
        <v>Bournemouth</v>
      </c>
      <c r="C144" s="505">
        <f>IF(J144="","",INDEX(Odds!C:C,MATCH(J144,Odds!G:G,0)))</f>
        <v>7</v>
      </c>
      <c r="D144" s="440">
        <f t="shared" si="13"/>
        <v>2.1</v>
      </c>
      <c r="E144" s="453" t="str">
        <f t="shared" si="14"/>
        <v>√</v>
      </c>
      <c r="F144" s="441"/>
      <c r="G144" s="442"/>
      <c r="H144" s="204"/>
      <c r="I144" s="373"/>
      <c r="J144" s="435" t="s">
        <v>637</v>
      </c>
      <c r="K144" s="188" t="str">
        <f>INDEX(Odds!H:H,MATCH(J144,Odds!G:G,0))</f>
        <v>11/10</v>
      </c>
      <c r="L144" s="443">
        <f>INDEX(Odds!I:I,MATCH(J144,Odds!G:G,0))</f>
        <v>2.1</v>
      </c>
      <c r="M144" s="437">
        <f>INDEX(Odds!J:J,MATCH(J144,Odds!G:G,0))</f>
        <v>1</v>
      </c>
      <c r="N144" s="438">
        <f t="shared" si="11"/>
        <v>2.1</v>
      </c>
      <c r="O144" s="561"/>
      <c r="P144" s="58"/>
      <c r="AB144" s="565" t="str">
        <f>IF(O144="","",INDEX(Odds!H:H,MATCH(O144,Odds!G:G,0)))</f>
        <v/>
      </c>
      <c r="AC144" s="587">
        <f>IF(J144="","",INDEX(Odds!K:K,MATCH(J144,Odds!G:G,0)))</f>
        <v>1</v>
      </c>
      <c r="AD144" s="58"/>
      <c r="AE144" s="58"/>
      <c r="AF144" s="431"/>
      <c r="AG144" s="58"/>
    </row>
    <row r="145" spans="1:33" ht="13.5" thickBot="1">
      <c r="A145" s="624" t="str">
        <f>A143</f>
        <v>Steve Carter</v>
      </c>
      <c r="B145" s="444" t="str">
        <f t="shared" si="12"/>
        <v>Fulham</v>
      </c>
      <c r="C145" s="506">
        <f>IF(J145="","",INDEX(Odds!C:C,MATCH(J145,Odds!G:G,0)))</f>
        <v>7</v>
      </c>
      <c r="D145" s="445">
        <f t="shared" si="13"/>
        <v>1.7</v>
      </c>
      <c r="E145" s="453" t="str">
        <f t="shared" si="14"/>
        <v>x</v>
      </c>
      <c r="F145" s="441"/>
      <c r="G145" s="442"/>
      <c r="H145" s="204"/>
      <c r="I145" s="373"/>
      <c r="J145" s="446" t="s">
        <v>645</v>
      </c>
      <c r="K145" s="189" t="str">
        <f>INDEX(Odds!H:H,MATCH(J145,Odds!G:G,0))</f>
        <v>7/10</v>
      </c>
      <c r="L145" s="447">
        <f>INDEX(Odds!I:I,MATCH(J145,Odds!G:G,0))</f>
        <v>1.7</v>
      </c>
      <c r="M145" s="437">
        <f>INDEX(Odds!J:J,MATCH(J145,Odds!G:G,0))</f>
        <v>0</v>
      </c>
      <c r="N145" s="448">
        <f t="shared" si="11"/>
        <v>0</v>
      </c>
      <c r="O145" s="562"/>
      <c r="P145" s="58"/>
      <c r="AB145" s="566" t="str">
        <f>IF(O145="","",INDEX(Odds!H:H,MATCH(O145,Odds!G:G,0)))</f>
        <v/>
      </c>
      <c r="AC145" s="587">
        <f>IF(J145="","",INDEX(Odds!K:K,MATCH(J145,Odds!G:G,0)))</f>
        <v>1</v>
      </c>
      <c r="AD145" s="58"/>
      <c r="AE145" s="58"/>
      <c r="AF145" s="431"/>
      <c r="AG145" s="58"/>
    </row>
    <row r="146" spans="1:33" ht="13.9" thickTop="1" thickBot="1">
      <c r="A146" s="433" t="str">
        <f>Results!B146</f>
        <v>Tom Robinson</v>
      </c>
      <c r="B146" s="449" t="str">
        <f t="shared" si="12"/>
        <v>QPR</v>
      </c>
      <c r="C146" s="505">
        <f>IF(J146="","",INDEX(Odds!C:C,MATCH(J146,Odds!G:G,0)))</f>
        <v>6</v>
      </c>
      <c r="D146" s="434">
        <f t="shared" si="13"/>
        <v>2</v>
      </c>
      <c r="E146" s="452" t="str">
        <f t="shared" si="14"/>
        <v>√</v>
      </c>
      <c r="F146" s="375">
        <f>IF(J146="",-10,INDEX(Results!T:T,MATCH(A146,Results!V:V,0)))</f>
        <v>-5</v>
      </c>
      <c r="G146" s="186">
        <f>IF(J146="","",INDEX(Results!AI:AI,MATCH(A146,Results!V:V,0)))</f>
        <v>31.825000000000003</v>
      </c>
      <c r="H146" s="204">
        <f>IF(G146="",0,1)</f>
        <v>1</v>
      </c>
      <c r="I146" s="372">
        <f>INDEX(Picks!AG:AG,MATCH(A146,Picks!AD:AD,0))</f>
        <v>27</v>
      </c>
      <c r="J146" s="435" t="s">
        <v>571</v>
      </c>
      <c r="K146" s="187" t="str">
        <f>INDEX(Odds!H:H,MATCH(J146,Odds!G:G,0))</f>
        <v>1/1</v>
      </c>
      <c r="L146" s="436">
        <f>INDEX(Odds!I:I,MATCH(J146,Odds!G:G,0))</f>
        <v>2</v>
      </c>
      <c r="M146" s="450">
        <f>INDEX(Odds!J:J,MATCH(J146,Odds!G:G,0))</f>
        <v>1</v>
      </c>
      <c r="N146" s="438">
        <f t="shared" si="11"/>
        <v>2</v>
      </c>
      <c r="O146" s="561"/>
      <c r="P146" s="58"/>
      <c r="AB146" s="565" t="str">
        <f>IF(O146="","",INDEX(Odds!H:H,MATCH(O146,Odds!G:G,0)))</f>
        <v/>
      </c>
      <c r="AC146" s="587">
        <f>IF(J146="","",INDEX(Odds!K:K,MATCH(J146,Odds!G:G,0)))</f>
        <v>1</v>
      </c>
      <c r="AD146" s="58"/>
      <c r="AE146" s="58"/>
      <c r="AF146" s="431"/>
      <c r="AG146" s="58"/>
    </row>
    <row r="147" spans="1:33">
      <c r="A147" s="623" t="str">
        <f>A146</f>
        <v>Tom Robinson</v>
      </c>
      <c r="B147" s="439" t="str">
        <f t="shared" si="12"/>
        <v>Wigan</v>
      </c>
      <c r="C147" s="505">
        <f>IF(J147="","",INDEX(Odds!C:C,MATCH(J147,Odds!G:G,0)))</f>
        <v>6</v>
      </c>
      <c r="D147" s="440">
        <f t="shared" si="13"/>
        <v>1.95</v>
      </c>
      <c r="E147" s="453" t="str">
        <f t="shared" si="14"/>
        <v>x</v>
      </c>
      <c r="F147" s="441"/>
      <c r="G147" s="442"/>
      <c r="H147" s="204"/>
      <c r="I147" s="373"/>
      <c r="J147" s="435" t="s">
        <v>348</v>
      </c>
      <c r="K147" s="188" t="str">
        <f>INDEX(Odds!H:H,MATCH(J147,Odds!G:G,0))</f>
        <v>19/20</v>
      </c>
      <c r="L147" s="443">
        <f>INDEX(Odds!I:I,MATCH(J147,Odds!G:G,0))</f>
        <v>1.95</v>
      </c>
      <c r="M147" s="437">
        <f>INDEX(Odds!J:J,MATCH(J147,Odds!G:G,0))</f>
        <v>0</v>
      </c>
      <c r="N147" s="438">
        <f t="shared" si="11"/>
        <v>0</v>
      </c>
      <c r="O147" s="561"/>
      <c r="P147" s="58"/>
      <c r="AB147" s="565" t="str">
        <f>IF(O147="","",INDEX(Odds!H:H,MATCH(O147,Odds!G:G,0)))</f>
        <v/>
      </c>
      <c r="AC147" s="587">
        <f>IF(J147="","",INDEX(Odds!K:K,MATCH(J147,Odds!G:G,0)))</f>
        <v>1</v>
      </c>
      <c r="AD147" s="58"/>
      <c r="AE147" s="58"/>
      <c r="AF147" s="431"/>
      <c r="AG147" s="58"/>
    </row>
    <row r="148" spans="1:33" ht="13.5" thickBot="1">
      <c r="A148" s="624" t="str">
        <f>A146</f>
        <v>Tom Robinson</v>
      </c>
      <c r="B148" s="444" t="str">
        <f t="shared" si="12"/>
        <v>Bradford draw</v>
      </c>
      <c r="C148" s="506">
        <f>IF(J148="","",INDEX(Odds!C:C,MATCH(J148,Odds!G:G,0)))</f>
        <v>6</v>
      </c>
      <c r="D148" s="445">
        <f t="shared" si="13"/>
        <v>3.5</v>
      </c>
      <c r="E148" s="453" t="str">
        <f t="shared" si="14"/>
        <v>x</v>
      </c>
      <c r="F148" s="441"/>
      <c r="G148" s="442"/>
      <c r="H148" s="204"/>
      <c r="I148" s="373"/>
      <c r="J148" s="446" t="s">
        <v>654</v>
      </c>
      <c r="K148" s="189" t="str">
        <f>INDEX(Odds!H:H,MATCH(J148,Odds!G:G,0))</f>
        <v>5/2</v>
      </c>
      <c r="L148" s="447">
        <f>INDEX(Odds!I:I,MATCH(J148,Odds!G:G,0))</f>
        <v>3.5</v>
      </c>
      <c r="M148" s="437">
        <f>INDEX(Odds!J:J,MATCH(J148,Odds!G:G,0))</f>
        <v>0</v>
      </c>
      <c r="N148" s="448">
        <f t="shared" si="11"/>
        <v>0</v>
      </c>
      <c r="O148" s="562"/>
      <c r="P148" s="58"/>
      <c r="AB148" s="566" t="str">
        <f>IF(O148="","",INDEX(Odds!H:H,MATCH(O148,Odds!G:G,0)))</f>
        <v/>
      </c>
      <c r="AC148" s="587">
        <f>IF(J148="","",INDEX(Odds!K:K,MATCH(J148,Odds!G:G,0)))</f>
        <v>1</v>
      </c>
      <c r="AD148" s="58"/>
      <c r="AE148" s="58"/>
      <c r="AF148" s="431"/>
      <c r="AG148" s="58"/>
    </row>
    <row r="149" spans="1:33" ht="13.9" thickTop="1" thickBot="1">
      <c r="A149" s="433" t="str">
        <f>Results!B149</f>
        <v>Vinny Topping</v>
      </c>
      <c r="B149" s="449" t="str">
        <f t="shared" si="12"/>
        <v>Hull</v>
      </c>
      <c r="C149" s="505">
        <f>IF(J149="","",INDEX(Odds!C:C,MATCH(J149,Odds!G:G,0)))</f>
        <v>6</v>
      </c>
      <c r="D149" s="434">
        <f t="shared" si="13"/>
        <v>1.9090909090909092</v>
      </c>
      <c r="E149" s="452" t="str">
        <f t="shared" si="14"/>
        <v>x</v>
      </c>
      <c r="F149" s="375">
        <f>IF(J149="",-10,INDEX(Results!T:T,MATCH(A149,Results!V:V,0)))</f>
        <v>-5.15</v>
      </c>
      <c r="G149" s="186">
        <f>IF(J149="","",INDEX(Results!AI:AI,MATCH(A149,Results!V:V,0)))</f>
        <v>16.458181818181817</v>
      </c>
      <c r="H149" s="204">
        <f>IF(G149="",0,1)</f>
        <v>1</v>
      </c>
      <c r="I149" s="372">
        <f>INDEX(Picks!AG:AG,MATCH(A149,Picks!AD:AD,0))</f>
        <v>31</v>
      </c>
      <c r="J149" s="435" t="s">
        <v>605</v>
      </c>
      <c r="K149" s="187" t="str">
        <f>INDEX(Odds!H:H,MATCH(J149,Odds!G:G,0))</f>
        <v>10/11</v>
      </c>
      <c r="L149" s="436">
        <f>INDEX(Odds!I:I,MATCH(J149,Odds!G:G,0))</f>
        <v>1.9090909090909092</v>
      </c>
      <c r="M149" s="450">
        <f>INDEX(Odds!J:J,MATCH(J149,Odds!G:G,0))</f>
        <v>0</v>
      </c>
      <c r="N149" s="438">
        <f t="shared" ref="N149:N151" si="15">L149*M149</f>
        <v>0</v>
      </c>
      <c r="O149" s="561"/>
      <c r="P149" s="58"/>
      <c r="AB149" s="565" t="str">
        <f>IF(O149="","",INDEX(Odds!H:H,MATCH(O149,Odds!G:G,0)))</f>
        <v/>
      </c>
      <c r="AC149" s="587">
        <f>IF(J149="","",INDEX(Odds!K:K,MATCH(J149,Odds!G:G,0)))</f>
        <v>1</v>
      </c>
      <c r="AD149" s="58"/>
      <c r="AE149" s="58"/>
      <c r="AF149" s="431"/>
      <c r="AG149" s="58"/>
    </row>
    <row r="150" spans="1:33">
      <c r="A150" s="623" t="str">
        <f>A149</f>
        <v>Vinny Topping</v>
      </c>
      <c r="B150" s="439" t="str">
        <f t="shared" si="12"/>
        <v>Derby</v>
      </c>
      <c r="C150" s="505">
        <f>IF(J150="","",INDEX(Odds!C:C,MATCH(J150,Odds!G:G,0)))</f>
        <v>6</v>
      </c>
      <c r="D150" s="440">
        <f t="shared" si="13"/>
        <v>1.85</v>
      </c>
      <c r="E150" s="453" t="str">
        <f t="shared" si="14"/>
        <v>√</v>
      </c>
      <c r="F150" s="441"/>
      <c r="G150" s="442"/>
      <c r="H150" s="204"/>
      <c r="I150" s="373"/>
      <c r="J150" s="435" t="s">
        <v>566</v>
      </c>
      <c r="K150" s="188" t="str">
        <f>INDEX(Odds!H:H,MATCH(J150,Odds!G:G,0))</f>
        <v>17/20</v>
      </c>
      <c r="L150" s="443">
        <f>INDEX(Odds!I:I,MATCH(J150,Odds!G:G,0))</f>
        <v>1.85</v>
      </c>
      <c r="M150" s="437">
        <f>INDEX(Odds!J:J,MATCH(J150,Odds!G:G,0))</f>
        <v>1</v>
      </c>
      <c r="N150" s="438">
        <f t="shared" si="15"/>
        <v>1.85</v>
      </c>
      <c r="O150" s="561"/>
      <c r="P150" s="58"/>
      <c r="AB150" s="565" t="str">
        <f>IF(O150="","",INDEX(Odds!H:H,MATCH(O150,Odds!G:G,0)))</f>
        <v/>
      </c>
      <c r="AC150" s="587">
        <f>IF(J150="","",INDEX(Odds!K:K,MATCH(J150,Odds!G:G,0)))</f>
        <v>1</v>
      </c>
      <c r="AD150" s="58"/>
      <c r="AE150" s="58"/>
      <c r="AF150" s="431"/>
      <c r="AG150" s="58"/>
    </row>
    <row r="151" spans="1:33" ht="13.5" thickBot="1">
      <c r="A151" s="624" t="str">
        <f>A149</f>
        <v>Vinny Topping</v>
      </c>
      <c r="B151" s="444" t="str">
        <f t="shared" si="12"/>
        <v>Wigan</v>
      </c>
      <c r="C151" s="506">
        <f>IF(J151="","",INDEX(Odds!C:C,MATCH(J151,Odds!G:G,0)))</f>
        <v>6</v>
      </c>
      <c r="D151" s="445">
        <f t="shared" si="13"/>
        <v>1.95</v>
      </c>
      <c r="E151" s="601" t="str">
        <f t="shared" si="14"/>
        <v>x</v>
      </c>
      <c r="F151" s="602"/>
      <c r="G151" s="603"/>
      <c r="H151" s="204"/>
      <c r="I151" s="373"/>
      <c r="J151" s="446" t="s">
        <v>348</v>
      </c>
      <c r="K151" s="189" t="str">
        <f>INDEX(Odds!H:H,MATCH(J151,Odds!G:G,0))</f>
        <v>19/20</v>
      </c>
      <c r="L151" s="447">
        <f>INDEX(Odds!I:I,MATCH(J151,Odds!G:G,0))</f>
        <v>1.95</v>
      </c>
      <c r="M151" s="437">
        <f>INDEX(Odds!J:J,MATCH(J151,Odds!G:G,0))</f>
        <v>0</v>
      </c>
      <c r="N151" s="448">
        <f t="shared" si="15"/>
        <v>0</v>
      </c>
      <c r="O151" s="562"/>
      <c r="P151" s="58"/>
      <c r="AB151" s="566" t="str">
        <f>IF(O151="","",INDEX(Odds!H:H,MATCH(O151,Odds!G:G,0)))</f>
        <v/>
      </c>
      <c r="AC151" s="587">
        <f>IF(J151="","",INDEX(Odds!K:K,MATCH(J151,Odds!G:G,0)))</f>
        <v>1</v>
      </c>
      <c r="AD151" s="58"/>
      <c r="AE151" s="58"/>
      <c r="AF151" s="431"/>
      <c r="AG151" s="58"/>
    </row>
    <row r="152" spans="1:33" ht="13.5" thickTop="1">
      <c r="AB152" s="18" t="str">
        <f>IF(O152="","",INDEX(Odds!H:H,MATCH(O152,Odds!G:G,0)))</f>
        <v/>
      </c>
      <c r="AC152" s="18"/>
      <c r="AD152" s="58"/>
      <c r="AE152" s="58"/>
      <c r="AF152" s="431"/>
      <c r="AG152" s="58"/>
    </row>
    <row r="153" spans="1:33" ht="14.25" customHeight="1">
      <c r="AB153" s="18" t="str">
        <f>IF(O153="","",INDEX(Odds!H:H,MATCH(O153,Odds!G:G,0)))</f>
        <v/>
      </c>
      <c r="AC153" s="18"/>
      <c r="AD153" s="58"/>
      <c r="AE153" s="58"/>
      <c r="AF153" s="431"/>
      <c r="AG153" s="58"/>
    </row>
    <row r="154" spans="1:33">
      <c r="AB154" s="18" t="str">
        <f>IF(O154="","",INDEX(Odds!H:H,MATCH(O154,Odds!G:G,0)))</f>
        <v/>
      </c>
      <c r="AC154" s="18"/>
      <c r="AD154" s="58"/>
      <c r="AE154" s="58"/>
      <c r="AF154" s="431"/>
      <c r="AG154" s="58"/>
    </row>
    <row r="155" spans="1:33">
      <c r="AB155" s="18" t="str">
        <f>IF(O155="","",INDEX(Odds!H:H,MATCH(O155,Odds!G:G,0)))</f>
        <v/>
      </c>
      <c r="AC155" s="18"/>
      <c r="AD155" s="58"/>
      <c r="AE155" s="58"/>
      <c r="AF155" s="431"/>
      <c r="AG155" s="58"/>
    </row>
    <row r="156" spans="1:33">
      <c r="AB156" s="18" t="str">
        <f>IF(O156="","",INDEX(Odds!H:H,MATCH(O156,Odds!G:G,0)))</f>
        <v/>
      </c>
      <c r="AC156" s="18"/>
      <c r="AD156" s="58"/>
      <c r="AE156" s="58"/>
      <c r="AF156" s="431"/>
      <c r="AG156" s="58"/>
    </row>
    <row r="157" spans="1:33">
      <c r="AB157" s="18" t="str">
        <f>IF(O157="","",INDEX(Odds!H:H,MATCH(O157,Odds!G:G,0)))</f>
        <v/>
      </c>
      <c r="AC157" s="18"/>
      <c r="AD157" s="58"/>
      <c r="AE157" s="58"/>
      <c r="AF157" s="431"/>
      <c r="AG157" s="58"/>
    </row>
    <row r="158" spans="1:33">
      <c r="AB158" s="18" t="str">
        <f>IF(O158="","",INDEX(Odds!H:H,MATCH(O158,Odds!G:G,0)))</f>
        <v/>
      </c>
      <c r="AC158" s="18"/>
      <c r="AD158" s="58"/>
      <c r="AE158" s="58"/>
      <c r="AF158" s="431"/>
      <c r="AG158" s="58"/>
    </row>
    <row r="159" spans="1:33">
      <c r="AB159" s="18" t="str">
        <f>IF(O159="","",INDEX(Odds!H:H,MATCH(O159,Odds!G:G,0)))</f>
        <v/>
      </c>
      <c r="AC159" s="18"/>
      <c r="AD159" s="58"/>
      <c r="AE159" s="58"/>
      <c r="AF159" s="431"/>
      <c r="AG159" s="58"/>
    </row>
    <row r="160" spans="1:33">
      <c r="AB160" s="18" t="str">
        <f>IF(O160="","",INDEX(Odds!H:H,MATCH(O160,Odds!G:G,0)))</f>
        <v/>
      </c>
      <c r="AC160" s="18"/>
      <c r="AD160" s="58"/>
      <c r="AE160" s="58"/>
      <c r="AF160" s="431"/>
      <c r="AG160" s="58"/>
    </row>
    <row r="161" spans="28:33">
      <c r="AB161" s="18" t="str">
        <f>IF(O161="","",INDEX(Odds!H:H,MATCH(O161,Odds!G:G,0)))</f>
        <v/>
      </c>
      <c r="AC161" s="18"/>
      <c r="AD161" s="58"/>
      <c r="AE161" s="58"/>
      <c r="AF161" s="431"/>
      <c r="AG161" s="58"/>
    </row>
    <row r="162" spans="28:33">
      <c r="AB162" s="18" t="str">
        <f>IF(O162="","",INDEX(Odds!H:H,MATCH(O162,Odds!G:G,0)))</f>
        <v/>
      </c>
      <c r="AC162" s="18"/>
    </row>
    <row r="163" spans="28:33">
      <c r="AB163" s="18" t="str">
        <f>IF(O163="","",INDEX(Odds!H:H,MATCH(O163,Odds!G:G,0)))</f>
        <v/>
      </c>
      <c r="AC163" s="18"/>
    </row>
    <row r="164" spans="28:33">
      <c r="AB164" s="18" t="str">
        <f>IF(O164="","",INDEX(Odds!H:H,MATCH(O164,Odds!G:G,0)))</f>
        <v/>
      </c>
      <c r="AC164" s="18"/>
    </row>
    <row r="165" spans="28:33">
      <c r="AB165" s="18" t="str">
        <f>IF(O165="","",INDEX(Odds!H:H,MATCH(O165,Odds!G:G,0)))</f>
        <v/>
      </c>
      <c r="AC165" s="18"/>
    </row>
    <row r="166" spans="28:33">
      <c r="AB166" s="18" t="str">
        <f>IF(O166="","",INDEX(Odds!H:H,MATCH(O166,Odds!G:G,0)))</f>
        <v/>
      </c>
      <c r="AC166" s="18"/>
    </row>
    <row r="167" spans="28:33" ht="13.5" customHeight="1">
      <c r="AB167" s="18" t="str">
        <f>IF(O167="","",INDEX(Odds!H:H,MATCH(O167,Odds!G:G,0)))</f>
        <v/>
      </c>
      <c r="AC167" s="18"/>
    </row>
    <row r="168" spans="28:33">
      <c r="AB168" s="18" t="str">
        <f>IF(O168="","",INDEX(Odds!H:H,MATCH(O168,Odds!G:G,0)))</f>
        <v/>
      </c>
      <c r="AC168" s="18"/>
    </row>
    <row r="169" spans="28:33">
      <c r="AB169" s="18" t="str">
        <f>IF(O169="","",INDEX(Odds!H:H,MATCH(O169,Odds!G:G,0)))</f>
        <v/>
      </c>
      <c r="AC169" s="18"/>
    </row>
    <row r="170" spans="28:33">
      <c r="AB170" s="18" t="str">
        <f>IF(O170="","",INDEX(Odds!H:H,MATCH(O170,Odds!G:G,0)))</f>
        <v/>
      </c>
      <c r="AC170" s="18"/>
    </row>
    <row r="171" spans="28:33">
      <c r="AB171" s="18" t="str">
        <f>IF(O171="","",INDEX(Odds!H:H,MATCH(O171,Odds!G:G,0)))</f>
        <v/>
      </c>
      <c r="AC171" s="18"/>
    </row>
    <row r="172" spans="28:33">
      <c r="AB172" s="18" t="str">
        <f>IF(O172="","",INDEX(Odds!H:H,MATCH(O172,Odds!G:G,0)))</f>
        <v/>
      </c>
      <c r="AC172" s="18"/>
    </row>
    <row r="173" spans="28:33">
      <c r="AB173" s="18" t="str">
        <f>IF(O173="","",INDEX(Odds!H:H,MATCH(O173,Odds!G:G,0)))</f>
        <v/>
      </c>
      <c r="AC173" s="18"/>
    </row>
    <row r="174" spans="28:33">
      <c r="AB174" s="18" t="str">
        <f>IF(O174="","",INDEX(Odds!H:H,MATCH(O174,Odds!G:G,0)))</f>
        <v/>
      </c>
      <c r="AC174" s="18"/>
    </row>
    <row r="175" spans="28:33">
      <c r="AB175" s="18" t="str">
        <f>IF(O175="","",INDEX(Odds!H:H,MATCH(O175,Odds!G:G,0)))</f>
        <v/>
      </c>
      <c r="AC175" s="18"/>
    </row>
    <row r="176" spans="28:33">
      <c r="AB176" s="18" t="str">
        <f>IF(O176="","",INDEX(Odds!H:H,MATCH(O176,Odds!G:G,0)))</f>
        <v/>
      </c>
      <c r="AC176" s="18"/>
    </row>
    <row r="177" spans="28:29">
      <c r="AB177" s="18" t="str">
        <f>IF(O177="","",INDEX(Odds!H:H,MATCH(O177,Odds!G:G,0)))</f>
        <v/>
      </c>
      <c r="AC177" s="18"/>
    </row>
    <row r="178" spans="28:29">
      <c r="AB178" s="18" t="str">
        <f>IF(O178="","",INDEX(Odds!H:H,MATCH(O178,Odds!G:G,0)))</f>
        <v/>
      </c>
      <c r="AC178" s="18"/>
    </row>
    <row r="179" spans="28:29">
      <c r="AB179" s="18" t="str">
        <f>IF(O179="","",INDEX(Odds!H:H,MATCH(O179,Odds!G:G,0)))</f>
        <v/>
      </c>
      <c r="AC179" s="18"/>
    </row>
    <row r="180" spans="28:29">
      <c r="AB180" s="18" t="str">
        <f>IF(O180="","",INDEX(Odds!H:H,MATCH(O180,Odds!G:G,0)))</f>
        <v/>
      </c>
      <c r="AC180" s="18"/>
    </row>
    <row r="181" spans="28:29">
      <c r="AB181" s="18" t="str">
        <f>IF(O181="","",INDEX(Odds!H:H,MATCH(O181,Odds!G:G,0)))</f>
        <v/>
      </c>
      <c r="AC181" s="18"/>
    </row>
    <row r="182" spans="28:29">
      <c r="AB182" s="18" t="str">
        <f>IF(O182="","",INDEX(Odds!H:H,MATCH(O182,Odds!G:G,0)))</f>
        <v/>
      </c>
      <c r="AC182" s="18"/>
    </row>
    <row r="183" spans="28:29">
      <c r="AB183" s="18" t="str">
        <f>IF(O183="","",INDEX(Odds!H:H,MATCH(O183,Odds!G:G,0)))</f>
        <v/>
      </c>
      <c r="AC183" s="18"/>
    </row>
    <row r="184" spans="28:29">
      <c r="AB184" s="18" t="str">
        <f>IF(O184="","",INDEX(Odds!H:H,MATCH(O184,Odds!G:G,0)))</f>
        <v/>
      </c>
      <c r="AC184" s="18"/>
    </row>
    <row r="185" spans="28:29">
      <c r="AB185" s="18" t="str">
        <f>IF(O185="","",INDEX(Odds!H:H,MATCH(O185,Odds!G:G,0)))</f>
        <v/>
      </c>
      <c r="AC185" s="18"/>
    </row>
    <row r="186" spans="28:29">
      <c r="AB186" s="18" t="str">
        <f>IF(O186="","",INDEX(Odds!H:H,MATCH(O186,Odds!G:G,0)))</f>
        <v/>
      </c>
      <c r="AC186" s="18"/>
    </row>
    <row r="187" spans="28:29">
      <c r="AB187" s="18" t="str">
        <f>IF(O187="","",INDEX(Odds!H:H,MATCH(O187,Odds!G:G,0)))</f>
        <v/>
      </c>
      <c r="AC187" s="18"/>
    </row>
    <row r="188" spans="28:29">
      <c r="AB188" s="18" t="str">
        <f>IF(O188="","",INDEX(Odds!H:H,MATCH(O188,Odds!G:G,0)))</f>
        <v/>
      </c>
      <c r="AC188" s="18"/>
    </row>
    <row r="189" spans="28:29">
      <c r="AB189" s="18" t="str">
        <f>IF(O189="","",INDEX(Odds!H:H,MATCH(O189,Odds!G:G,0)))</f>
        <v/>
      </c>
      <c r="AC189" s="18"/>
    </row>
    <row r="190" spans="28:29">
      <c r="AB190" s="18" t="str">
        <f>IF(O190="","",INDEX(Odds!H:H,MATCH(O190,Odds!G:G,0)))</f>
        <v/>
      </c>
      <c r="AC190" s="18"/>
    </row>
    <row r="191" spans="28:29">
      <c r="AB191" s="18" t="str">
        <f>IF(O191="","",INDEX(Odds!H:H,MATCH(O191,Odds!G:G,0)))</f>
        <v/>
      </c>
      <c r="AC191" s="18"/>
    </row>
    <row r="192" spans="28:29">
      <c r="AB192" s="18" t="str">
        <f>IF(O192="","",INDEX(Odds!H:H,MATCH(O192,Odds!G:G,0)))</f>
        <v/>
      </c>
      <c r="AC192" s="18"/>
    </row>
    <row r="193" spans="28:29">
      <c r="AB193" s="18" t="str">
        <f>IF(O193="","",INDEX(Odds!H:H,MATCH(O193,Odds!G:G,0)))</f>
        <v/>
      </c>
      <c r="AC193" s="18"/>
    </row>
    <row r="194" spans="28:29">
      <c r="AB194" s="18" t="str">
        <f>IF(O194="","",INDEX(Odds!H:H,MATCH(O194,Odds!G:G,0)))</f>
        <v/>
      </c>
      <c r="AC194" s="18"/>
    </row>
    <row r="195" spans="28:29">
      <c r="AB195" s="18" t="str">
        <f>IF(O195="","",INDEX(Odds!H:H,MATCH(O195,Odds!G:G,0)))</f>
        <v/>
      </c>
      <c r="AC195" s="18"/>
    </row>
    <row r="196" spans="28:29">
      <c r="AB196" s="18" t="str">
        <f>IF(O196="","",INDEX(Odds!H:H,MATCH(O196,Odds!G:G,0)))</f>
        <v/>
      </c>
      <c r="AC196" s="18"/>
    </row>
    <row r="197" spans="28:29">
      <c r="AB197" s="18" t="str">
        <f>IF(O197="","",INDEX(Odds!H:H,MATCH(O197,Odds!G:G,0)))</f>
        <v/>
      </c>
      <c r="AC197" s="18"/>
    </row>
    <row r="198" spans="28:29">
      <c r="AB198" s="18" t="str">
        <f>IF(O198="","",INDEX(Odds!H:H,MATCH(O198,Odds!G:G,0)))</f>
        <v/>
      </c>
      <c r="AC198" s="18"/>
    </row>
    <row r="199" spans="28:29">
      <c r="AB199" s="18" t="str">
        <f>IF(O199="","",INDEX(Odds!H:H,MATCH(O199,Odds!G:G,0)))</f>
        <v/>
      </c>
      <c r="AC199" s="18"/>
    </row>
    <row r="200" spans="28:29">
      <c r="AB200" s="18" t="str">
        <f>IF(O200="","",INDEX(Odds!H:H,MATCH(O200,Odds!G:G,0)))</f>
        <v/>
      </c>
      <c r="AC200" s="18"/>
    </row>
    <row r="201" spans="28:29">
      <c r="AB201" s="18" t="str">
        <f>IF(O201="","",INDEX(Odds!H:H,MATCH(O201,Odds!G:G,0)))</f>
        <v/>
      </c>
      <c r="AC201" s="18"/>
    </row>
    <row r="202" spans="28:29">
      <c r="AB202" s="18" t="str">
        <f>IF(O202="","",INDEX(Odds!H:H,MATCH(O202,Odds!G:G,0)))</f>
        <v/>
      </c>
      <c r="AC202" s="18"/>
    </row>
    <row r="203" spans="28:29">
      <c r="AB203" s="18" t="str">
        <f>IF(O203="","",INDEX(Odds!H:H,MATCH(O203,Odds!G:G,0)))</f>
        <v/>
      </c>
      <c r="AC203" s="18"/>
    </row>
    <row r="204" spans="28:29">
      <c r="AB204" s="18" t="str">
        <f>IF(O204="","",INDEX(Odds!H:H,MATCH(O204,Odds!G:G,0)))</f>
        <v/>
      </c>
      <c r="AC204" s="18"/>
    </row>
    <row r="205" spans="28:29">
      <c r="AB205" s="18" t="str">
        <f>IF(O205="","",INDEX(Odds!H:H,MATCH(O205,Odds!G:G,0)))</f>
        <v/>
      </c>
      <c r="AC205" s="18"/>
    </row>
    <row r="206" spans="28:29">
      <c r="AB206" s="18" t="str">
        <f>IF(O206="","",INDEX(Odds!H:H,MATCH(O206,Odds!G:G,0)))</f>
        <v/>
      </c>
      <c r="AC206" s="18"/>
    </row>
    <row r="207" spans="28:29">
      <c r="AB207" s="18" t="str">
        <f>IF(O207="","",INDEX(Odds!H:H,MATCH(O207,Odds!G:G,0)))</f>
        <v/>
      </c>
      <c r="AC207" s="18"/>
    </row>
    <row r="208" spans="28:29">
      <c r="AB208" s="18" t="str">
        <f>IF(O208="","",INDEX(Odds!H:H,MATCH(O208,Odds!G:G,0)))</f>
        <v/>
      </c>
      <c r="AC208" s="18"/>
    </row>
    <row r="209" spans="28:29">
      <c r="AB209" s="18" t="str">
        <f>IF(O209="","",INDEX(Odds!H:H,MATCH(O209,Odds!G:G,0)))</f>
        <v/>
      </c>
      <c r="AC209" s="18"/>
    </row>
    <row r="210" spans="28:29">
      <c r="AB210" s="18" t="str">
        <f>IF(O210="","",INDEX(Odds!H:H,MATCH(O210,Odds!G:G,0)))</f>
        <v/>
      </c>
      <c r="AC210" s="18"/>
    </row>
    <row r="211" spans="28:29">
      <c r="AB211" s="18" t="str">
        <f>IF(O211="","",INDEX(Odds!H:H,MATCH(O211,Odds!G:G,0)))</f>
        <v/>
      </c>
      <c r="AC211" s="18"/>
    </row>
    <row r="212" spans="28:29">
      <c r="AB212" s="18" t="str">
        <f>IF(O212="","",INDEX(Odds!H:H,MATCH(O212,Odds!G:G,0)))</f>
        <v/>
      </c>
      <c r="AC212" s="18"/>
    </row>
    <row r="213" spans="28:29">
      <c r="AB213" s="18" t="str">
        <f>IF(O213="","",INDEX(Odds!H:H,MATCH(O213,Odds!G:G,0)))</f>
        <v/>
      </c>
      <c r="AC213" s="18"/>
    </row>
    <row r="214" spans="28:29">
      <c r="AB214" s="18" t="str">
        <f>IF(O214="","",INDEX(Odds!H:H,MATCH(O214,Odds!G:G,0)))</f>
        <v/>
      </c>
      <c r="AC214" s="18"/>
    </row>
    <row r="215" spans="28:29">
      <c r="AB215" s="18" t="str">
        <f>IF(O215="","",INDEX(Odds!H:H,MATCH(O215,Odds!G:G,0)))</f>
        <v/>
      </c>
      <c r="AC215" s="18"/>
    </row>
    <row r="216" spans="28:29">
      <c r="AB216" s="18" t="str">
        <f>IF(O216="","",INDEX(Odds!H:H,MATCH(O216,Odds!G:G,0)))</f>
        <v/>
      </c>
      <c r="AC216" s="18"/>
    </row>
    <row r="217" spans="28:29">
      <c r="AB217" s="18" t="str">
        <f>IF(O217="","",INDEX(Odds!H:H,MATCH(O217,Odds!G:G,0)))</f>
        <v/>
      </c>
      <c r="AC217" s="18"/>
    </row>
    <row r="218" spans="28:29">
      <c r="AB218" s="18" t="str">
        <f>IF(O218="","",INDEX(Odds!H:H,MATCH(O218,Odds!G:G,0)))</f>
        <v/>
      </c>
      <c r="AC218" s="18"/>
    </row>
    <row r="219" spans="28:29">
      <c r="AB219" s="18" t="str">
        <f>IF(O219="","",INDEX(Odds!H:H,MATCH(O219,Odds!G:G,0)))</f>
        <v/>
      </c>
      <c r="AC219" s="18"/>
    </row>
    <row r="220" spans="28:29">
      <c r="AB220" s="18" t="str">
        <f>IF(O220="","",INDEX(Odds!H:H,MATCH(O220,Odds!G:G,0)))</f>
        <v/>
      </c>
      <c r="AC220" s="18"/>
    </row>
    <row r="221" spans="28:29">
      <c r="AB221" s="18" t="str">
        <f>IF(O221="","",INDEX(Odds!H:H,MATCH(O221,Odds!G:G,0)))</f>
        <v/>
      </c>
      <c r="AC221" s="18"/>
    </row>
    <row r="222" spans="28:29">
      <c r="AB222" s="18" t="str">
        <f>IF(O222="","",INDEX(Odds!H:H,MATCH(O222,Odds!G:G,0)))</f>
        <v/>
      </c>
      <c r="AC222" s="18"/>
    </row>
    <row r="223" spans="28:29">
      <c r="AB223" s="18" t="str">
        <f>IF(O223="","",INDEX(Odds!H:H,MATCH(O223,Odds!G:G,0)))</f>
        <v/>
      </c>
      <c r="AC223" s="18"/>
    </row>
    <row r="224" spans="28:29">
      <c r="AB224" s="18" t="str">
        <f>IF(O224="","",INDEX(Odds!H:H,MATCH(O224,Odds!G:G,0)))</f>
        <v/>
      </c>
      <c r="AC224" s="18"/>
    </row>
    <row r="225" spans="28:29">
      <c r="AB225" s="18" t="str">
        <f>IF(O225="","",INDEX(Odds!H:H,MATCH(O225,Odds!G:G,0)))</f>
        <v/>
      </c>
      <c r="AC225" s="18"/>
    </row>
    <row r="226" spans="28:29">
      <c r="AB226" s="18" t="str">
        <f>IF(O226="","",INDEX(Odds!H:H,MATCH(O226,Odds!G:G,0)))</f>
        <v/>
      </c>
      <c r="AC226" s="18"/>
    </row>
    <row r="227" spans="28:29">
      <c r="AB227" s="18" t="str">
        <f>IF(O227="","",INDEX(Odds!H:H,MATCH(O227,Odds!G:G,0)))</f>
        <v/>
      </c>
      <c r="AC227" s="18"/>
    </row>
    <row r="228" spans="28:29">
      <c r="AB228" s="18" t="str">
        <f>IF(O228="","",INDEX(Odds!H:H,MATCH(O228,Odds!G:G,0)))</f>
        <v/>
      </c>
      <c r="AC228" s="18"/>
    </row>
    <row r="229" spans="28:29">
      <c r="AB229" s="18" t="str">
        <f>IF(O229="","",INDEX(Odds!H:H,MATCH(O229,Odds!G:G,0)))</f>
        <v/>
      </c>
      <c r="AC229" s="18"/>
    </row>
    <row r="230" spans="28:29">
      <c r="AB230" s="18" t="str">
        <f>IF(O230="","",INDEX(Odds!H:H,MATCH(O230,Odds!G:G,0)))</f>
        <v/>
      </c>
      <c r="AC230" s="18"/>
    </row>
    <row r="231" spans="28:29">
      <c r="AB231" s="18" t="str">
        <f>IF(O231="","",INDEX(Odds!H:H,MATCH(O231,Odds!G:G,0)))</f>
        <v/>
      </c>
      <c r="AC231" s="18"/>
    </row>
    <row r="232" spans="28:29">
      <c r="AB232" s="18" t="str">
        <f>IF(O232="","",INDEX(Odds!H:H,MATCH(O232,Odds!G:G,0)))</f>
        <v/>
      </c>
      <c r="AC232" s="18"/>
    </row>
    <row r="233" spans="28:29">
      <c r="AB233" s="18" t="str">
        <f>IF(O233="","",INDEX(Odds!H:H,MATCH(O233,Odds!G:G,0)))</f>
        <v/>
      </c>
      <c r="AC233" s="18"/>
    </row>
    <row r="234" spans="28:29">
      <c r="AB234" s="18" t="str">
        <f>IF(O234="","",INDEX(Odds!H:H,MATCH(O234,Odds!G:G,0)))</f>
        <v/>
      </c>
      <c r="AC234" s="18"/>
    </row>
    <row r="235" spans="28:29">
      <c r="AB235" s="18" t="str">
        <f>IF(O235="","",INDEX(Odds!H:H,MATCH(O235,Odds!G:G,0)))</f>
        <v/>
      </c>
      <c r="AC235" s="18"/>
    </row>
    <row r="236" spans="28:29">
      <c r="AB236" s="18" t="str">
        <f>IF(O236="","",INDEX(Odds!H:H,MATCH(O236,Odds!G:G,0)))</f>
        <v/>
      </c>
      <c r="AC236" s="18"/>
    </row>
    <row r="237" spans="28:29">
      <c r="AB237" s="18" t="str">
        <f>IF(O237="","",INDEX(Odds!H:H,MATCH(O237,Odds!G:G,0)))</f>
        <v/>
      </c>
      <c r="AC237" s="18"/>
    </row>
    <row r="238" spans="28:29" ht="144.75" customHeight="1">
      <c r="AB238" s="18" t="str">
        <f>IF(O238="","",INDEX(Odds!H:H,MATCH(O238,Odds!G:G,0)))</f>
        <v/>
      </c>
      <c r="AC238" s="18"/>
    </row>
    <row r="239" spans="28:29">
      <c r="AB239" s="18" t="str">
        <f>IF(O239="","",INDEX(Odds!H:H,MATCH(O239,Odds!G:G,0)))</f>
        <v/>
      </c>
      <c r="AC239" s="18"/>
    </row>
    <row r="240" spans="28:29">
      <c r="AB240" s="18" t="str">
        <f>IF(O240="","",INDEX(Odds!H:H,MATCH(O240,Odds!G:G,0)))</f>
        <v/>
      </c>
      <c r="AC240" s="18"/>
    </row>
    <row r="241" spans="28:29">
      <c r="AB241" s="18" t="str">
        <f>IF(O241="","",INDEX(Odds!H:H,MATCH(O241,Odds!G:G,0)))</f>
        <v/>
      </c>
      <c r="AC241" s="18"/>
    </row>
    <row r="242" spans="28:29">
      <c r="AB242" s="18" t="str">
        <f>IF(O242="","",INDEX(Odds!H:H,MATCH(O242,Odds!G:G,0)))</f>
        <v/>
      </c>
      <c r="AC242" s="18"/>
    </row>
    <row r="243" spans="28:29">
      <c r="AB243" s="18" t="str">
        <f>IF(O243="","",INDEX(Odds!H:H,MATCH(O243,Odds!G:G,0)))</f>
        <v/>
      </c>
      <c r="AC243" s="18"/>
    </row>
    <row r="244" spans="28:29">
      <c r="AB244" s="18" t="str">
        <f>IF(O244="","",INDEX(Odds!H:H,MATCH(O244,Odds!G:G,0)))</f>
        <v/>
      </c>
      <c r="AC244" s="18"/>
    </row>
    <row r="245" spans="28:29">
      <c r="AB245" s="18" t="str">
        <f>IF(O245="","",INDEX(Odds!H:H,MATCH(O245,Odds!G:G,0)))</f>
        <v/>
      </c>
      <c r="AC245" s="18"/>
    </row>
    <row r="246" spans="28:29">
      <c r="AB246" s="18" t="str">
        <f>IF(O246="","",INDEX(Odds!H:H,MATCH(O246,Odds!G:G,0)))</f>
        <v/>
      </c>
      <c r="AC246" s="18"/>
    </row>
    <row r="247" spans="28:29">
      <c r="AB247" s="18" t="str">
        <f>IF(O247="","",INDEX(Odds!H:H,MATCH(O247,Odds!G:G,0)))</f>
        <v/>
      </c>
      <c r="AC247" s="18"/>
    </row>
  </sheetData>
  <autoFilter ref="A1:AN184" xr:uid="{CE4DE976-F766-4348-B813-63E9BA2F0CAD}"/>
  <sortState xmlns:xlrd2="http://schemas.microsoft.com/office/spreadsheetml/2017/richdata2" ref="AI2:AL69">
    <sortCondition descending="1" ref="AJ2:AJ69"/>
  </sortState>
  <phoneticPr fontId="0" type="noConversion"/>
  <conditionalFormatting sqref="B2">
    <cfRule type="expression" dxfId="99" priority="20">
      <formula>AC2=0</formula>
    </cfRule>
  </conditionalFormatting>
  <conditionalFormatting sqref="B3:B4">
    <cfRule type="expression" dxfId="98" priority="19">
      <formula>AC3=0</formula>
    </cfRule>
  </conditionalFormatting>
  <conditionalFormatting sqref="B5 B8 B11 B14 B17 B20 B23 B26 B29 B32 B35 B38 B41 B44 B47 B50 B53 B56 B59 B62 B65 B68 B71 B74 B77 B80 B83 B86 B89 B92 B95 B98 B101 B104 B107 B110 B113 B116 B119 B122 B125 B128 B131 B134 B137 B140 B143 B146 B149">
    <cfRule type="expression" dxfId="97" priority="14">
      <formula>AC5=0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B150:B151">
    <cfRule type="expression" dxfId="96" priority="13">
      <formula>AC6=0</formula>
    </cfRule>
  </conditionalFormatting>
  <dataValidations count="1">
    <dataValidation type="list" allowBlank="1" showInputMessage="1" showErrorMessage="1" sqref="J2:J151"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AM139"/>
  <sheetViews>
    <sheetView topLeftCell="A21" zoomScaleNormal="100" workbookViewId="0">
      <selection activeCell="H47" sqref="H47"/>
    </sheetView>
  </sheetViews>
  <sheetFormatPr defaultRowHeight="12.75"/>
  <cols>
    <col min="1" max="1" width="7.3984375" style="583" customWidth="1"/>
    <col min="2" max="2" width="14" style="15" customWidth="1"/>
    <col min="3" max="3" width="14" style="168" customWidth="1"/>
    <col min="4" max="4" width="11" style="9" customWidth="1"/>
    <col min="5" max="5" width="18" style="4" customWidth="1"/>
    <col min="6" max="6" width="19" customWidth="1"/>
    <col min="7" max="7" width="7.265625" style="168" customWidth="1"/>
    <col min="8" max="8" width="9.86328125" style="168" customWidth="1"/>
    <col min="9" max="9" width="6.59765625" style="168" customWidth="1"/>
    <col min="10" max="10" width="6.1328125" style="168" customWidth="1"/>
    <col min="11" max="11" width="6" style="168" customWidth="1"/>
    <col min="12" max="12" width="5.59765625" style="168" customWidth="1"/>
    <col min="13" max="13" width="5.73046875" style="168" customWidth="1"/>
    <col min="14" max="14" width="5.1328125" style="168" customWidth="1"/>
    <col min="15" max="15" width="6.73046875" style="1" customWidth="1"/>
    <col min="16" max="16" width="6.265625" style="33"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70" customWidth="1"/>
    <col min="28" max="28" width="10.73046875" style="171" customWidth="1"/>
    <col min="29" max="29" width="10.73046875" style="170" customWidth="1"/>
    <col min="30" max="31" width="10.73046875" style="1" customWidth="1"/>
    <col min="32" max="32" width="10.73046875" customWidth="1"/>
    <col min="33" max="35" width="10.73046875" style="1" customWidth="1"/>
    <col min="36" max="36" width="10.73046875" customWidth="1"/>
    <col min="37" max="37" width="10.73046875" style="13" customWidth="1"/>
    <col min="38" max="38" width="10.73046875" customWidth="1"/>
    <col min="39" max="39" width="8.3984375" bestFit="1" customWidth="1"/>
  </cols>
  <sheetData>
    <row r="1" spans="1:39" ht="53.65" customHeight="1">
      <c r="A1" s="582" t="s">
        <v>488</v>
      </c>
      <c r="B1" s="167" t="s">
        <v>30</v>
      </c>
      <c r="C1" s="167" t="s">
        <v>216</v>
      </c>
      <c r="D1" s="22" t="s">
        <v>169</v>
      </c>
      <c r="E1" s="23" t="s">
        <v>32</v>
      </c>
      <c r="F1" s="24" t="s">
        <v>33</v>
      </c>
      <c r="G1" s="166" t="s">
        <v>56</v>
      </c>
      <c r="H1" s="166" t="s">
        <v>57</v>
      </c>
      <c r="I1" s="167" t="s">
        <v>34</v>
      </c>
      <c r="J1" s="167" t="s">
        <v>35</v>
      </c>
      <c r="K1" s="167" t="s">
        <v>36</v>
      </c>
      <c r="L1" s="167" t="s">
        <v>37</v>
      </c>
      <c r="M1" s="167" t="s">
        <v>38</v>
      </c>
      <c r="N1" s="167" t="s">
        <v>39</v>
      </c>
      <c r="O1" s="104" t="s">
        <v>492</v>
      </c>
      <c r="P1" s="584" t="s">
        <v>491</v>
      </c>
      <c r="Q1" s="31" t="s">
        <v>46</v>
      </c>
      <c r="R1" s="31" t="s">
        <v>47</v>
      </c>
      <c r="S1" s="31" t="s">
        <v>49</v>
      </c>
      <c r="T1" s="31" t="s">
        <v>50</v>
      </c>
      <c r="U1" s="26" t="s">
        <v>40</v>
      </c>
      <c r="V1" s="29" t="s">
        <v>19</v>
      </c>
      <c r="W1" t="s">
        <v>31</v>
      </c>
      <c r="X1" t="s">
        <v>41</v>
      </c>
      <c r="Y1" s="10" t="s">
        <v>43</v>
      </c>
      <c r="Z1" s="10" t="s">
        <v>42</v>
      </c>
      <c r="AA1" s="169" t="s">
        <v>186</v>
      </c>
      <c r="AB1" s="169" t="s">
        <v>187</v>
      </c>
      <c r="AC1" s="169" t="s">
        <v>188</v>
      </c>
      <c r="AD1" s="10"/>
      <c r="AE1" s="10"/>
      <c r="AF1" s="10"/>
      <c r="AG1" s="10"/>
      <c r="AH1" s="10"/>
      <c r="AI1" s="10"/>
      <c r="AJ1" s="10"/>
      <c r="AK1" s="12"/>
      <c r="AL1" s="8"/>
      <c r="AM1" s="8"/>
    </row>
    <row r="2" spans="1:39">
      <c r="A2" s="583">
        <v>1</v>
      </c>
      <c r="B2" s="25">
        <v>45380</v>
      </c>
      <c r="C2" s="161">
        <v>11</v>
      </c>
      <c r="D2" s="25" t="s">
        <v>597</v>
      </c>
      <c r="E2" s="25" t="s">
        <v>598</v>
      </c>
      <c r="F2" s="25" t="s">
        <v>599</v>
      </c>
      <c r="G2" s="161">
        <v>0</v>
      </c>
      <c r="H2" s="161">
        <v>1</v>
      </c>
      <c r="I2" s="161">
        <v>14</v>
      </c>
      <c r="J2" s="161">
        <v>5</v>
      </c>
      <c r="K2" s="161">
        <v>27</v>
      </c>
      <c r="L2" s="161">
        <v>10</v>
      </c>
      <c r="M2" s="161">
        <v>17</v>
      </c>
      <c r="N2" s="161">
        <v>20</v>
      </c>
      <c r="O2" s="581" t="b">
        <v>0</v>
      </c>
      <c r="P2" s="585" t="str">
        <f>IF(B2="","",IF(O2=FALSE,"","OFF"))</f>
        <v/>
      </c>
      <c r="Q2" s="32" t="str">
        <f t="shared" ref="Q2:Q32" si="0">TRIM(E2)</f>
        <v>Blackburn</v>
      </c>
      <c r="R2" s="32" t="str">
        <f t="shared" ref="R2:R32" si="1">TRIM(F2)</f>
        <v>Ipswich</v>
      </c>
      <c r="S2" s="31" t="str">
        <f t="shared" ref="S2:S32" si="2">TRIM(G2)</f>
        <v>0</v>
      </c>
      <c r="T2" s="32" t="str">
        <f t="shared" ref="T2:T32" si="3">TRIM(H2)</f>
        <v>1</v>
      </c>
      <c r="U2" s="27" t="str">
        <f>IF(B2="","",IF(O2=TRUE,Q2&amp;"  v  "&amp;R2&amp;"  OFF",Q2&amp;"  v  "&amp;R2&amp;"   "&amp;W2))</f>
        <v>Blackburn  v  Ipswich   14/5  27/10  17/20</v>
      </c>
      <c r="V2" s="30" t="str">
        <f>Q2&amp;" "&amp;S2&amp;"-"&amp;T2&amp;" "&amp;R2&amp;" "&amp;P2</f>
        <v xml:space="preserve">Blackburn 0-1 Ipswich </v>
      </c>
      <c r="W2" t="str">
        <f>X2&amp;"  "&amp;Y2&amp;"  "&amp;Z2</f>
        <v>14/5  27/10  17/20</v>
      </c>
      <c r="X2" s="17" t="str">
        <f t="shared" ref="X2:X32" si="4">CONCATENATE(I2,"/",J2)</f>
        <v>14/5</v>
      </c>
      <c r="Y2" s="17" t="str">
        <f t="shared" ref="Y2:Y32" si="5">CONCATENATE(K2,"/",L2)</f>
        <v>27/10</v>
      </c>
      <c r="Z2" s="17" t="str">
        <f t="shared" ref="Z2:Z32" si="6">CONCATENATE(M2,"/",N2)</f>
        <v>17/20</v>
      </c>
      <c r="AA2" s="170">
        <f>IF(B2="","",1+(I2/J2))</f>
        <v>3.8</v>
      </c>
      <c r="AB2" s="170">
        <f>IF(D2="","",1+(K2/L2))</f>
        <v>3.7</v>
      </c>
      <c r="AC2" s="170">
        <f>IF(E2="","",1+(M2/N2))</f>
        <v>1.85</v>
      </c>
      <c r="AD2" s="11"/>
      <c r="AH2" s="11"/>
    </row>
    <row r="3" spans="1:39">
      <c r="A3" s="583">
        <v>2</v>
      </c>
      <c r="B3" s="25">
        <v>45380</v>
      </c>
      <c r="C3" s="161">
        <v>11</v>
      </c>
      <c r="D3" s="21" t="s">
        <v>597</v>
      </c>
      <c r="E3" s="25" t="s">
        <v>600</v>
      </c>
      <c r="F3" s="25" t="s">
        <v>601</v>
      </c>
      <c r="G3" s="161">
        <v>1</v>
      </c>
      <c r="H3" s="161">
        <v>0</v>
      </c>
      <c r="I3" s="161">
        <v>17</v>
      </c>
      <c r="J3" s="161">
        <v>5</v>
      </c>
      <c r="K3" s="161">
        <v>5</v>
      </c>
      <c r="L3" s="161">
        <v>2</v>
      </c>
      <c r="M3" s="161">
        <v>4</v>
      </c>
      <c r="N3" s="161">
        <v>5</v>
      </c>
      <c r="O3" s="105" t="b">
        <v>0</v>
      </c>
      <c r="P3" s="585" t="str">
        <f t="shared" ref="P3:P47" si="7">IF(B3="","",IF(O3=FALSE,"","OFF"))</f>
        <v/>
      </c>
      <c r="Q3" s="32" t="str">
        <f t="shared" si="0"/>
        <v>Bristol C</v>
      </c>
      <c r="R3" s="32" t="str">
        <f t="shared" si="1"/>
        <v>Leicester</v>
      </c>
      <c r="S3" s="31" t="str">
        <f t="shared" si="2"/>
        <v>1</v>
      </c>
      <c r="T3" s="32" t="str">
        <f t="shared" si="3"/>
        <v>0</v>
      </c>
      <c r="U3" s="27" t="str">
        <f t="shared" ref="U3:U66" si="8">IF(B3="","",IF(O3=TRUE,Q3&amp;"  v  "&amp;R3&amp;"  OFF",Q3&amp;"  v  "&amp;R3&amp;"   "&amp;W3))</f>
        <v>Bristol C  v  Leicester   17/5  5/2  4/5</v>
      </c>
      <c r="V3" s="30" t="str">
        <f t="shared" ref="V3:V47" si="9">Q3&amp;" "&amp;S3&amp;"-"&amp;T3&amp;" "&amp;R3&amp;" "&amp;P3</f>
        <v xml:space="preserve">Bristol C 1-0 Leicester </v>
      </c>
      <c r="W3" t="str">
        <f t="shared" ref="W3:W44" si="10">X3&amp;"  "&amp;Y3&amp;"  "&amp;Z3</f>
        <v>17/5  5/2  4/5</v>
      </c>
      <c r="X3" s="17" t="str">
        <f t="shared" si="4"/>
        <v>17/5</v>
      </c>
      <c r="Y3" s="17" t="str">
        <f t="shared" si="5"/>
        <v>5/2</v>
      </c>
      <c r="Z3" s="17" t="str">
        <f t="shared" si="6"/>
        <v>4/5</v>
      </c>
      <c r="AA3" s="170">
        <f t="shared" ref="AA3:AA47" si="11">IF(B3="","",1+(I3/J3))</f>
        <v>4.4000000000000004</v>
      </c>
      <c r="AB3" s="170">
        <f t="shared" ref="AB3:AB47" si="12">IF(D3="","",1+(K3/L3))</f>
        <v>3.5</v>
      </c>
      <c r="AC3" s="170">
        <f t="shared" ref="AC3:AC47" si="13">IF(E3="","",1+(M3/N3))</f>
        <v>1.8</v>
      </c>
      <c r="AD3" s="11"/>
      <c r="AH3" s="11"/>
    </row>
    <row r="4" spans="1:39">
      <c r="A4" s="583">
        <v>3</v>
      </c>
      <c r="B4" s="25">
        <v>45380</v>
      </c>
      <c r="C4" s="161">
        <v>11</v>
      </c>
      <c r="D4" s="25" t="s">
        <v>597</v>
      </c>
      <c r="E4" s="25" t="s">
        <v>602</v>
      </c>
      <c r="F4" s="25" t="s">
        <v>170</v>
      </c>
      <c r="G4" s="161">
        <v>0</v>
      </c>
      <c r="H4" s="161">
        <v>2</v>
      </c>
      <c r="I4" s="161">
        <v>8</v>
      </c>
      <c r="J4" s="161">
        <v>5</v>
      </c>
      <c r="K4" s="161">
        <v>21</v>
      </c>
      <c r="L4" s="161">
        <v>10</v>
      </c>
      <c r="M4" s="161">
        <v>7</v>
      </c>
      <c r="N4" s="161">
        <v>4</v>
      </c>
      <c r="O4" s="105" t="b">
        <v>0</v>
      </c>
      <c r="P4" s="585" t="str">
        <f t="shared" si="7"/>
        <v/>
      </c>
      <c r="Q4" s="32" t="str">
        <f t="shared" si="0"/>
        <v>Cardiff</v>
      </c>
      <c r="R4" s="32" t="str">
        <f t="shared" si="1"/>
        <v>Sunderland</v>
      </c>
      <c r="S4" s="31" t="str">
        <f t="shared" si="2"/>
        <v>0</v>
      </c>
      <c r="T4" s="32" t="str">
        <f t="shared" si="3"/>
        <v>2</v>
      </c>
      <c r="U4" s="27" t="str">
        <f t="shared" si="8"/>
        <v>Cardiff  v  Sunderland   8/5  21/10  7/4</v>
      </c>
      <c r="V4" s="30" t="str">
        <f t="shared" si="9"/>
        <v xml:space="preserve">Cardiff 0-2 Sunderland </v>
      </c>
      <c r="W4" t="str">
        <f t="shared" si="10"/>
        <v>8/5  21/10  7/4</v>
      </c>
      <c r="X4" s="17" t="str">
        <f t="shared" si="4"/>
        <v>8/5</v>
      </c>
      <c r="Y4" s="17" t="str">
        <f t="shared" si="5"/>
        <v>21/10</v>
      </c>
      <c r="Z4" s="17" t="str">
        <f t="shared" si="6"/>
        <v>7/4</v>
      </c>
      <c r="AA4" s="170">
        <f t="shared" si="11"/>
        <v>2.6</v>
      </c>
      <c r="AB4" s="170">
        <f t="shared" si="12"/>
        <v>3.1</v>
      </c>
      <c r="AC4" s="170">
        <f t="shared" si="13"/>
        <v>2.75</v>
      </c>
      <c r="AD4" s="11"/>
      <c r="AH4" s="11"/>
    </row>
    <row r="5" spans="1:39">
      <c r="A5" s="583">
        <v>4</v>
      </c>
      <c r="B5" s="25">
        <v>45380</v>
      </c>
      <c r="C5" s="161">
        <v>11</v>
      </c>
      <c r="D5" s="25" t="s">
        <v>597</v>
      </c>
      <c r="E5" s="25" t="s">
        <v>603</v>
      </c>
      <c r="F5" s="25" t="s">
        <v>604</v>
      </c>
      <c r="G5" s="161">
        <v>1</v>
      </c>
      <c r="H5" s="161">
        <v>3</v>
      </c>
      <c r="I5" s="161">
        <v>19</v>
      </c>
      <c r="J5" s="161">
        <v>10</v>
      </c>
      <c r="K5" s="161">
        <v>23</v>
      </c>
      <c r="L5" s="161">
        <v>10</v>
      </c>
      <c r="M5" s="161">
        <v>11</v>
      </c>
      <c r="N5" s="161">
        <v>8</v>
      </c>
      <c r="O5" s="105" t="b">
        <v>0</v>
      </c>
      <c r="P5" s="585" t="str">
        <f t="shared" si="7"/>
        <v/>
      </c>
      <c r="Q5" s="32" t="str">
        <f t="shared" si="0"/>
        <v>Huddersfield</v>
      </c>
      <c r="R5" s="32" t="str">
        <f t="shared" si="1"/>
        <v>Coventry</v>
      </c>
      <c r="S5" s="31" t="str">
        <f t="shared" si="2"/>
        <v>1</v>
      </c>
      <c r="T5" s="32" t="str">
        <f t="shared" si="3"/>
        <v>3</v>
      </c>
      <c r="U5" s="27" t="str">
        <f t="shared" si="8"/>
        <v>Huddersfield  v  Coventry   19/10  23/10  11/8</v>
      </c>
      <c r="V5" s="30" t="str">
        <f t="shared" si="9"/>
        <v xml:space="preserve">Huddersfield 1-3 Coventry </v>
      </c>
      <c r="W5" t="str">
        <f t="shared" si="10"/>
        <v>19/10  23/10  11/8</v>
      </c>
      <c r="X5" s="17" t="str">
        <f t="shared" si="4"/>
        <v>19/10</v>
      </c>
      <c r="Y5" s="17" t="str">
        <f t="shared" si="5"/>
        <v>23/10</v>
      </c>
      <c r="Z5" s="17" t="str">
        <f t="shared" si="6"/>
        <v>11/8</v>
      </c>
      <c r="AA5" s="170">
        <f t="shared" si="11"/>
        <v>2.9</v>
      </c>
      <c r="AB5" s="170">
        <f t="shared" si="12"/>
        <v>3.3</v>
      </c>
      <c r="AC5" s="170">
        <f t="shared" si="13"/>
        <v>2.375</v>
      </c>
      <c r="AD5" s="11"/>
      <c r="AH5" s="11"/>
    </row>
    <row r="6" spans="1:39">
      <c r="A6" s="583">
        <v>5</v>
      </c>
      <c r="B6" s="25">
        <v>45380</v>
      </c>
      <c r="C6" s="161">
        <v>11</v>
      </c>
      <c r="D6" s="25" t="s">
        <v>597</v>
      </c>
      <c r="E6" s="25" t="s">
        <v>605</v>
      </c>
      <c r="F6" s="25" t="s">
        <v>606</v>
      </c>
      <c r="G6" s="161">
        <v>0</v>
      </c>
      <c r="H6" s="161">
        <v>2</v>
      </c>
      <c r="I6" s="161">
        <v>10</v>
      </c>
      <c r="J6" s="161">
        <v>11</v>
      </c>
      <c r="K6" s="161">
        <v>12</v>
      </c>
      <c r="L6" s="161">
        <v>5</v>
      </c>
      <c r="M6" s="161">
        <v>29</v>
      </c>
      <c r="N6" s="161">
        <v>10</v>
      </c>
      <c r="O6" s="105" t="b">
        <v>0</v>
      </c>
      <c r="P6" s="585" t="str">
        <f t="shared" si="7"/>
        <v/>
      </c>
      <c r="Q6" s="32" t="str">
        <f t="shared" si="0"/>
        <v>Hull</v>
      </c>
      <c r="R6" s="32" t="str">
        <f t="shared" si="1"/>
        <v>Stoke</v>
      </c>
      <c r="S6" s="31" t="str">
        <f t="shared" si="2"/>
        <v>0</v>
      </c>
      <c r="T6" s="32" t="str">
        <f t="shared" si="3"/>
        <v>2</v>
      </c>
      <c r="U6" s="27" t="str">
        <f t="shared" si="8"/>
        <v>Hull  v  Stoke   10/11  12/5  29/10</v>
      </c>
      <c r="V6" s="30" t="str">
        <f t="shared" si="9"/>
        <v xml:space="preserve">Hull 0-2 Stoke </v>
      </c>
      <c r="W6" t="str">
        <f t="shared" si="10"/>
        <v>10/11  12/5  29/10</v>
      </c>
      <c r="X6" s="17" t="str">
        <f t="shared" si="4"/>
        <v>10/11</v>
      </c>
      <c r="Y6" s="17" t="str">
        <f t="shared" si="5"/>
        <v>12/5</v>
      </c>
      <c r="Z6" s="17" t="str">
        <f t="shared" si="6"/>
        <v>29/10</v>
      </c>
      <c r="AA6" s="170">
        <f t="shared" si="11"/>
        <v>1.9090909090909092</v>
      </c>
      <c r="AB6" s="170">
        <f t="shared" si="12"/>
        <v>3.4</v>
      </c>
      <c r="AC6" s="170">
        <f t="shared" si="13"/>
        <v>3.9</v>
      </c>
      <c r="AD6" s="11"/>
      <c r="AH6" s="11"/>
    </row>
    <row r="7" spans="1:39">
      <c r="A7" s="583">
        <v>6</v>
      </c>
      <c r="B7" s="25">
        <v>45380</v>
      </c>
      <c r="C7" s="161">
        <v>11</v>
      </c>
      <c r="D7" s="25" t="s">
        <v>597</v>
      </c>
      <c r="E7" s="25" t="s">
        <v>607</v>
      </c>
      <c r="F7" s="25" t="s">
        <v>608</v>
      </c>
      <c r="G7" s="161">
        <v>1</v>
      </c>
      <c r="H7" s="161">
        <v>1</v>
      </c>
      <c r="I7" s="161">
        <v>11</v>
      </c>
      <c r="J7" s="161">
        <v>5</v>
      </c>
      <c r="K7" s="161">
        <v>2</v>
      </c>
      <c r="L7" s="161">
        <v>1</v>
      </c>
      <c r="M7" s="161">
        <v>11</v>
      </c>
      <c r="N7" s="161">
        <v>8</v>
      </c>
      <c r="O7" s="105" t="b">
        <v>0</v>
      </c>
      <c r="P7" s="585" t="str">
        <f t="shared" si="7"/>
        <v/>
      </c>
      <c r="Q7" s="32" t="str">
        <f>TRIM(E7)</f>
        <v>Millwall</v>
      </c>
      <c r="R7" s="32" t="str">
        <f t="shared" si="1"/>
        <v>West Brom</v>
      </c>
      <c r="S7" s="31" t="str">
        <f t="shared" si="2"/>
        <v>1</v>
      </c>
      <c r="T7" s="32" t="str">
        <f t="shared" si="3"/>
        <v>1</v>
      </c>
      <c r="U7" s="27" t="str">
        <f t="shared" si="8"/>
        <v>Millwall  v  West Brom   11/5  2/1  11/8</v>
      </c>
      <c r="V7" s="30" t="str">
        <f t="shared" si="9"/>
        <v xml:space="preserve">Millwall 1-1 West Brom </v>
      </c>
      <c r="W7" t="str">
        <f t="shared" si="10"/>
        <v>11/5  2/1  11/8</v>
      </c>
      <c r="X7" s="17" t="str">
        <f t="shared" si="4"/>
        <v>11/5</v>
      </c>
      <c r="Y7" s="17" t="str">
        <f t="shared" si="5"/>
        <v>2/1</v>
      </c>
      <c r="Z7" s="17" t="str">
        <f t="shared" si="6"/>
        <v>11/8</v>
      </c>
      <c r="AA7" s="170">
        <f t="shared" si="11"/>
        <v>3.2</v>
      </c>
      <c r="AB7" s="170">
        <f t="shared" si="12"/>
        <v>3</v>
      </c>
      <c r="AC7" s="170">
        <f t="shared" si="13"/>
        <v>2.375</v>
      </c>
      <c r="AD7" s="11"/>
      <c r="AH7" s="11"/>
    </row>
    <row r="8" spans="1:39">
      <c r="A8" s="583">
        <v>7</v>
      </c>
      <c r="B8" s="25">
        <v>45380</v>
      </c>
      <c r="C8" s="161">
        <v>11</v>
      </c>
      <c r="D8" s="25" t="s">
        <v>597</v>
      </c>
      <c r="E8" s="25" t="s">
        <v>609</v>
      </c>
      <c r="F8" s="25" t="s">
        <v>610</v>
      </c>
      <c r="G8" s="161">
        <v>2</v>
      </c>
      <c r="H8" s="161">
        <v>1</v>
      </c>
      <c r="I8" s="161">
        <v>1</v>
      </c>
      <c r="J8" s="161">
        <v>2</v>
      </c>
      <c r="K8" s="161">
        <v>10</v>
      </c>
      <c r="L8" s="161">
        <v>3</v>
      </c>
      <c r="M8" s="161">
        <v>5</v>
      </c>
      <c r="N8" s="161">
        <v>1</v>
      </c>
      <c r="O8" s="105" t="b">
        <v>0</v>
      </c>
      <c r="P8" s="585" t="str">
        <f t="shared" si="7"/>
        <v/>
      </c>
      <c r="Q8" s="32" t="str">
        <f t="shared" si="0"/>
        <v>Norwich</v>
      </c>
      <c r="R8" s="32" t="str">
        <f t="shared" si="1"/>
        <v>Plymouth</v>
      </c>
      <c r="S8" s="31" t="str">
        <f t="shared" si="2"/>
        <v>2</v>
      </c>
      <c r="T8" s="32" t="str">
        <f t="shared" si="3"/>
        <v>1</v>
      </c>
      <c r="U8" s="27" t="str">
        <f t="shared" si="8"/>
        <v>Norwich  v  Plymouth   1/2  10/3  5/1</v>
      </c>
      <c r="V8" s="30" t="str">
        <f t="shared" si="9"/>
        <v xml:space="preserve">Norwich 2-1 Plymouth </v>
      </c>
      <c r="W8" t="str">
        <f t="shared" si="10"/>
        <v>1/2  10/3  5/1</v>
      </c>
      <c r="X8" s="17" t="str">
        <f t="shared" si="4"/>
        <v>1/2</v>
      </c>
      <c r="Y8" s="17" t="str">
        <f t="shared" si="5"/>
        <v>10/3</v>
      </c>
      <c r="Z8" s="17" t="str">
        <f t="shared" si="6"/>
        <v>5/1</v>
      </c>
      <c r="AA8" s="170">
        <f t="shared" si="11"/>
        <v>1.5</v>
      </c>
      <c r="AB8" s="170">
        <f t="shared" si="12"/>
        <v>4.3333333333333339</v>
      </c>
      <c r="AC8" s="170">
        <f t="shared" si="13"/>
        <v>6</v>
      </c>
      <c r="AD8" s="11"/>
      <c r="AH8" s="11"/>
    </row>
    <row r="9" spans="1:39">
      <c r="A9" s="583">
        <v>8</v>
      </c>
      <c r="B9" s="25">
        <v>45380</v>
      </c>
      <c r="C9" s="161">
        <v>11</v>
      </c>
      <c r="D9" s="25" t="s">
        <v>597</v>
      </c>
      <c r="E9" s="25" t="s">
        <v>517</v>
      </c>
      <c r="F9" s="25" t="s">
        <v>611</v>
      </c>
      <c r="G9" s="161">
        <v>3</v>
      </c>
      <c r="H9" s="161">
        <v>0</v>
      </c>
      <c r="I9" s="161">
        <v>8</v>
      </c>
      <c r="J9" s="161">
        <v>15</v>
      </c>
      <c r="K9" s="161">
        <v>29</v>
      </c>
      <c r="L9" s="161">
        <v>10</v>
      </c>
      <c r="M9" s="161">
        <v>11</v>
      </c>
      <c r="N9" s="161">
        <v>2</v>
      </c>
      <c r="O9" s="105" t="b">
        <v>0</v>
      </c>
      <c r="P9" s="585" t="str">
        <f t="shared" si="7"/>
        <v/>
      </c>
      <c r="Q9" s="32" t="str">
        <f t="shared" si="0"/>
        <v>Preston</v>
      </c>
      <c r="R9" s="32" t="str">
        <f t="shared" si="1"/>
        <v>Rotherham</v>
      </c>
      <c r="S9" s="31" t="str">
        <f t="shared" si="2"/>
        <v>3</v>
      </c>
      <c r="T9" s="32" t="str">
        <f t="shared" si="3"/>
        <v>0</v>
      </c>
      <c r="U9" s="27" t="str">
        <f t="shared" si="8"/>
        <v>Preston  v  Rotherham   8/15  29/10  11/2</v>
      </c>
      <c r="V9" s="30" t="str">
        <f t="shared" si="9"/>
        <v xml:space="preserve">Preston 3-0 Rotherham </v>
      </c>
      <c r="W9" t="str">
        <f t="shared" si="10"/>
        <v>8/15  29/10  11/2</v>
      </c>
      <c r="X9" s="17" t="str">
        <f t="shared" si="4"/>
        <v>8/15</v>
      </c>
      <c r="Y9" s="17" t="str">
        <f t="shared" si="5"/>
        <v>29/10</v>
      </c>
      <c r="Z9" s="17" t="str">
        <f t="shared" si="6"/>
        <v>11/2</v>
      </c>
      <c r="AA9" s="170">
        <f t="shared" si="11"/>
        <v>1.5333333333333332</v>
      </c>
      <c r="AB9" s="170">
        <f t="shared" si="12"/>
        <v>3.9</v>
      </c>
      <c r="AC9" s="170">
        <f t="shared" si="13"/>
        <v>6.5</v>
      </c>
      <c r="AD9" s="11"/>
      <c r="AH9" s="11"/>
    </row>
    <row r="10" spans="1:39">
      <c r="A10" s="583">
        <v>9</v>
      </c>
      <c r="B10" s="25">
        <v>45380</v>
      </c>
      <c r="C10" s="161">
        <v>11</v>
      </c>
      <c r="D10" s="25" t="s">
        <v>597</v>
      </c>
      <c r="E10" s="25" t="s">
        <v>571</v>
      </c>
      <c r="F10" s="25" t="s">
        <v>612</v>
      </c>
      <c r="G10" s="161">
        <v>2</v>
      </c>
      <c r="H10" s="161">
        <v>1</v>
      </c>
      <c r="I10" s="161">
        <v>1</v>
      </c>
      <c r="J10" s="161">
        <v>1</v>
      </c>
      <c r="K10" s="161">
        <v>9</v>
      </c>
      <c r="L10" s="161">
        <v>4</v>
      </c>
      <c r="M10" s="161">
        <v>11</v>
      </c>
      <c r="N10" s="161">
        <v>4</v>
      </c>
      <c r="O10" s="105" t="b">
        <v>0</v>
      </c>
      <c r="P10" s="585" t="str">
        <f t="shared" si="7"/>
        <v/>
      </c>
      <c r="Q10" s="32" t="str">
        <f t="shared" si="0"/>
        <v>QPR</v>
      </c>
      <c r="R10" s="32" t="str">
        <f t="shared" si="1"/>
        <v>Birmingham</v>
      </c>
      <c r="S10" s="31" t="str">
        <f t="shared" si="2"/>
        <v>2</v>
      </c>
      <c r="T10" s="32" t="str">
        <f t="shared" si="3"/>
        <v>1</v>
      </c>
      <c r="U10" s="27" t="str">
        <f t="shared" si="8"/>
        <v>QPR  v  Birmingham   1/1  9/4  11/4</v>
      </c>
      <c r="V10" s="30" t="str">
        <f t="shared" si="9"/>
        <v xml:space="preserve">QPR 2-1 Birmingham </v>
      </c>
      <c r="W10" t="str">
        <f t="shared" si="10"/>
        <v>1/1  9/4  11/4</v>
      </c>
      <c r="X10" s="17" t="str">
        <f t="shared" si="4"/>
        <v>1/1</v>
      </c>
      <c r="Y10" s="17" t="str">
        <f t="shared" si="5"/>
        <v>9/4</v>
      </c>
      <c r="Z10" s="17" t="str">
        <f t="shared" si="6"/>
        <v>11/4</v>
      </c>
      <c r="AA10" s="170">
        <f t="shared" si="11"/>
        <v>2</v>
      </c>
      <c r="AB10" s="170">
        <f t="shared" si="12"/>
        <v>3.25</v>
      </c>
      <c r="AC10" s="170">
        <f t="shared" si="13"/>
        <v>3.75</v>
      </c>
      <c r="AD10" s="11"/>
      <c r="AH10" s="11"/>
    </row>
    <row r="11" spans="1:39">
      <c r="A11" s="583">
        <v>10</v>
      </c>
      <c r="B11" s="25">
        <v>45380</v>
      </c>
      <c r="C11" s="161">
        <v>11</v>
      </c>
      <c r="D11" s="25" t="s">
        <v>597</v>
      </c>
      <c r="E11" s="25" t="s">
        <v>613</v>
      </c>
      <c r="F11" s="25" t="s">
        <v>614</v>
      </c>
      <c r="G11" s="161">
        <v>1</v>
      </c>
      <c r="H11" s="161">
        <v>1</v>
      </c>
      <c r="I11" s="161">
        <v>29</v>
      </c>
      <c r="J11" s="161">
        <v>20</v>
      </c>
      <c r="K11" s="161">
        <v>9</v>
      </c>
      <c r="L11" s="161">
        <v>4</v>
      </c>
      <c r="M11" s="161">
        <v>9</v>
      </c>
      <c r="N11" s="161">
        <v>5</v>
      </c>
      <c r="O11" s="105" t="b">
        <v>0</v>
      </c>
      <c r="P11" s="585" t="str">
        <f t="shared" si="7"/>
        <v/>
      </c>
      <c r="Q11" s="32" t="str">
        <f t="shared" si="0"/>
        <v>Sheff W</v>
      </c>
      <c r="R11" s="32" t="str">
        <f t="shared" si="1"/>
        <v>Swansea</v>
      </c>
      <c r="S11" s="31" t="str">
        <f t="shared" si="2"/>
        <v>1</v>
      </c>
      <c r="T11" s="32" t="str">
        <f t="shared" si="3"/>
        <v>1</v>
      </c>
      <c r="U11" s="27" t="str">
        <f t="shared" si="8"/>
        <v>Sheff W  v  Swansea   29/20  9/4  9/5</v>
      </c>
      <c r="V11" s="30" t="str">
        <f t="shared" si="9"/>
        <v xml:space="preserve">Sheff W 1-1 Swansea </v>
      </c>
      <c r="W11" t="str">
        <f t="shared" si="10"/>
        <v>29/20  9/4  9/5</v>
      </c>
      <c r="X11" s="17" t="str">
        <f t="shared" si="4"/>
        <v>29/20</v>
      </c>
      <c r="Y11" s="17" t="str">
        <f t="shared" si="5"/>
        <v>9/4</v>
      </c>
      <c r="Z11" s="17" t="str">
        <f t="shared" si="6"/>
        <v>9/5</v>
      </c>
      <c r="AA11" s="170">
        <f t="shared" si="11"/>
        <v>2.4500000000000002</v>
      </c>
      <c r="AB11" s="170">
        <f t="shared" si="12"/>
        <v>3.25</v>
      </c>
      <c r="AC11" s="170">
        <f t="shared" si="13"/>
        <v>2.8</v>
      </c>
      <c r="AD11" s="11"/>
      <c r="AH11" s="11"/>
    </row>
    <row r="12" spans="1:39">
      <c r="A12" s="583">
        <v>11</v>
      </c>
      <c r="B12" s="25">
        <v>45380</v>
      </c>
      <c r="C12" s="161">
        <v>11</v>
      </c>
      <c r="D12" s="25" t="s">
        <v>597</v>
      </c>
      <c r="E12" s="25" t="s">
        <v>615</v>
      </c>
      <c r="F12" s="25" t="s">
        <v>616</v>
      </c>
      <c r="G12" s="161">
        <v>1</v>
      </c>
      <c r="H12" s="161">
        <v>1</v>
      </c>
      <c r="I12" s="161">
        <v>6</v>
      </c>
      <c r="J12" s="161">
        <v>10</v>
      </c>
      <c r="K12" s="161">
        <v>16</v>
      </c>
      <c r="L12" s="161">
        <v>5</v>
      </c>
      <c r="M12" s="161">
        <v>4</v>
      </c>
      <c r="N12" s="161">
        <v>1</v>
      </c>
      <c r="O12" s="105" t="b">
        <v>0</v>
      </c>
      <c r="P12" s="585" t="str">
        <f t="shared" si="7"/>
        <v/>
      </c>
      <c r="Q12" s="32" t="str">
        <f t="shared" si="0"/>
        <v>Southampton</v>
      </c>
      <c r="R12" s="32" t="str">
        <f t="shared" si="1"/>
        <v>Middlesbro</v>
      </c>
      <c r="S12" s="31" t="str">
        <f t="shared" si="2"/>
        <v>1</v>
      </c>
      <c r="T12" s="32" t="str">
        <f t="shared" si="3"/>
        <v>1</v>
      </c>
      <c r="U12" s="27" t="str">
        <f t="shared" si="8"/>
        <v>Southampton  v  Middlesbro   6/10  16/5  4/1</v>
      </c>
      <c r="V12" s="30" t="str">
        <f t="shared" si="9"/>
        <v xml:space="preserve">Southampton 1-1 Middlesbro </v>
      </c>
      <c r="W12" t="str">
        <f t="shared" si="10"/>
        <v>6/10  16/5  4/1</v>
      </c>
      <c r="X12" s="17" t="str">
        <f t="shared" si="4"/>
        <v>6/10</v>
      </c>
      <c r="Y12" s="17" t="str">
        <f t="shared" si="5"/>
        <v>16/5</v>
      </c>
      <c r="Z12" s="17" t="str">
        <f t="shared" si="6"/>
        <v>4/1</v>
      </c>
      <c r="AA12" s="170">
        <f t="shared" si="11"/>
        <v>1.6</v>
      </c>
      <c r="AB12" s="170">
        <f t="shared" si="12"/>
        <v>4.2</v>
      </c>
      <c r="AC12" s="170">
        <f t="shared" si="13"/>
        <v>5</v>
      </c>
      <c r="AD12" s="11"/>
      <c r="AH12" s="11"/>
    </row>
    <row r="13" spans="1:39">
      <c r="A13" s="583">
        <v>12</v>
      </c>
      <c r="B13" s="25">
        <v>45380</v>
      </c>
      <c r="C13" s="161">
        <v>11</v>
      </c>
      <c r="D13" s="25" t="s">
        <v>597</v>
      </c>
      <c r="E13" s="25" t="s">
        <v>617</v>
      </c>
      <c r="F13" s="25" t="s">
        <v>618</v>
      </c>
      <c r="G13" s="161">
        <v>2</v>
      </c>
      <c r="H13" s="161">
        <v>2</v>
      </c>
      <c r="I13" s="161">
        <v>4</v>
      </c>
      <c r="J13" s="161">
        <v>1</v>
      </c>
      <c r="K13" s="161">
        <v>29</v>
      </c>
      <c r="L13" s="161">
        <v>10</v>
      </c>
      <c r="M13" s="161">
        <v>8</v>
      </c>
      <c r="N13" s="161">
        <v>13</v>
      </c>
      <c r="O13" s="105" t="b">
        <v>0</v>
      </c>
      <c r="P13" s="585" t="str">
        <f t="shared" si="7"/>
        <v/>
      </c>
      <c r="Q13" s="32" t="str">
        <f t="shared" si="0"/>
        <v>Watford</v>
      </c>
      <c r="R13" s="32" t="str">
        <f t="shared" si="1"/>
        <v>Leeds</v>
      </c>
      <c r="S13" s="31" t="str">
        <f t="shared" si="2"/>
        <v>2</v>
      </c>
      <c r="T13" s="32" t="str">
        <f t="shared" si="3"/>
        <v>2</v>
      </c>
      <c r="U13" s="27" t="str">
        <f t="shared" si="8"/>
        <v>Watford  v  Leeds   4/1  29/10  8/13</v>
      </c>
      <c r="V13" s="30" t="str">
        <f t="shared" si="9"/>
        <v xml:space="preserve">Watford 2-2 Leeds </v>
      </c>
      <c r="W13" t="str">
        <f t="shared" si="10"/>
        <v>4/1  29/10  8/13</v>
      </c>
      <c r="X13" s="17" t="str">
        <f t="shared" si="4"/>
        <v>4/1</v>
      </c>
      <c r="Y13" s="17" t="str">
        <f t="shared" si="5"/>
        <v>29/10</v>
      </c>
      <c r="Z13" s="17" t="str">
        <f t="shared" si="6"/>
        <v>8/13</v>
      </c>
      <c r="AA13" s="170">
        <f t="shared" si="11"/>
        <v>5</v>
      </c>
      <c r="AB13" s="170">
        <f t="shared" si="12"/>
        <v>3.9</v>
      </c>
      <c r="AC13" s="170">
        <f t="shared" si="13"/>
        <v>1.6153846153846154</v>
      </c>
      <c r="AD13" s="11"/>
      <c r="AH13" s="11"/>
    </row>
    <row r="14" spans="1:39">
      <c r="A14" s="583">
        <v>13</v>
      </c>
      <c r="B14" s="25">
        <v>45380</v>
      </c>
      <c r="C14" s="161">
        <v>12</v>
      </c>
      <c r="D14" s="25" t="s">
        <v>572</v>
      </c>
      <c r="E14" s="21" t="s">
        <v>619</v>
      </c>
      <c r="F14" s="21" t="s">
        <v>620</v>
      </c>
      <c r="G14" s="161">
        <v>0</v>
      </c>
      <c r="H14" s="161">
        <v>2</v>
      </c>
      <c r="I14" s="161">
        <v>8</v>
      </c>
      <c r="J14" s="161">
        <v>15</v>
      </c>
      <c r="K14" s="161">
        <v>16</v>
      </c>
      <c r="L14" s="161">
        <v>5</v>
      </c>
      <c r="M14" s="161">
        <v>24</v>
      </c>
      <c r="N14" s="161">
        <v>5</v>
      </c>
      <c r="O14" s="104" t="b">
        <v>0</v>
      </c>
      <c r="P14" s="585" t="str">
        <f t="shared" si="7"/>
        <v/>
      </c>
      <c r="Q14" s="32" t="str">
        <f t="shared" si="0"/>
        <v>Barnsley</v>
      </c>
      <c r="R14" s="32" t="str">
        <f t="shared" si="1"/>
        <v>Cambridge</v>
      </c>
      <c r="S14" s="31" t="str">
        <f t="shared" si="2"/>
        <v>0</v>
      </c>
      <c r="T14" s="32" t="str">
        <f t="shared" si="3"/>
        <v>2</v>
      </c>
      <c r="U14" s="27" t="str">
        <f t="shared" si="8"/>
        <v>Barnsley  v  Cambridge   8/15  16/5  24/5</v>
      </c>
      <c r="V14" s="30" t="str">
        <f t="shared" si="9"/>
        <v xml:space="preserve">Barnsley 0-2 Cambridge </v>
      </c>
      <c r="W14" t="str">
        <f t="shared" si="10"/>
        <v>8/15  16/5  24/5</v>
      </c>
      <c r="X14" s="17" t="str">
        <f t="shared" si="4"/>
        <v>8/15</v>
      </c>
      <c r="Y14" s="17" t="str">
        <f t="shared" si="5"/>
        <v>16/5</v>
      </c>
      <c r="Z14" s="17" t="str">
        <f t="shared" si="6"/>
        <v>24/5</v>
      </c>
      <c r="AA14" s="170">
        <f t="shared" si="11"/>
        <v>1.5333333333333332</v>
      </c>
      <c r="AB14" s="170">
        <f t="shared" si="12"/>
        <v>4.2</v>
      </c>
      <c r="AC14" s="170">
        <f t="shared" si="13"/>
        <v>5.8</v>
      </c>
      <c r="AD14" s="11"/>
      <c r="AH14" s="11"/>
    </row>
    <row r="15" spans="1:39">
      <c r="A15" s="583">
        <v>14</v>
      </c>
      <c r="B15" s="25">
        <v>45380</v>
      </c>
      <c r="C15" s="161">
        <v>12</v>
      </c>
      <c r="D15" s="25" t="s">
        <v>572</v>
      </c>
      <c r="E15" s="25" t="s">
        <v>566</v>
      </c>
      <c r="F15" s="21" t="s">
        <v>621</v>
      </c>
      <c r="G15" s="161">
        <v>1</v>
      </c>
      <c r="H15" s="161">
        <v>0</v>
      </c>
      <c r="I15" s="161">
        <v>17</v>
      </c>
      <c r="J15" s="161">
        <v>20</v>
      </c>
      <c r="K15" s="161">
        <v>13</v>
      </c>
      <c r="L15" s="161">
        <v>5</v>
      </c>
      <c r="M15" s="161">
        <v>3</v>
      </c>
      <c r="N15" s="161">
        <v>1</v>
      </c>
      <c r="O15" s="104" t="b">
        <v>0</v>
      </c>
      <c r="P15" s="585" t="str">
        <f t="shared" si="7"/>
        <v/>
      </c>
      <c r="Q15" s="32" t="str">
        <f t="shared" si="0"/>
        <v>Derby</v>
      </c>
      <c r="R15" s="32" t="str">
        <f t="shared" si="1"/>
        <v>Blackpool</v>
      </c>
      <c r="S15" s="31" t="str">
        <f t="shared" si="2"/>
        <v>1</v>
      </c>
      <c r="T15" s="32" t="str">
        <f t="shared" si="3"/>
        <v>0</v>
      </c>
      <c r="U15" s="27" t="str">
        <f t="shared" si="8"/>
        <v>Derby  v  Blackpool   17/20  13/5  3/1</v>
      </c>
      <c r="V15" s="30" t="str">
        <f t="shared" si="9"/>
        <v xml:space="preserve">Derby 1-0 Blackpool </v>
      </c>
      <c r="W15" t="str">
        <f t="shared" si="10"/>
        <v>17/20  13/5  3/1</v>
      </c>
      <c r="X15" s="17" t="str">
        <f t="shared" si="4"/>
        <v>17/20</v>
      </c>
      <c r="Y15" s="17" t="str">
        <f t="shared" si="5"/>
        <v>13/5</v>
      </c>
      <c r="Z15" s="17" t="str">
        <f t="shared" si="6"/>
        <v>3/1</v>
      </c>
      <c r="AA15" s="170">
        <f t="shared" si="11"/>
        <v>1.85</v>
      </c>
      <c r="AB15" s="170">
        <f t="shared" si="12"/>
        <v>3.6</v>
      </c>
      <c r="AC15" s="170">
        <f t="shared" si="13"/>
        <v>4</v>
      </c>
      <c r="AD15" s="11"/>
      <c r="AH15" s="11"/>
    </row>
    <row r="16" spans="1:39">
      <c r="A16" s="583">
        <v>15</v>
      </c>
      <c r="B16" s="25">
        <v>45380</v>
      </c>
      <c r="C16" s="161">
        <v>12</v>
      </c>
      <c r="D16" s="25" t="s">
        <v>572</v>
      </c>
      <c r="E16" s="25" t="s">
        <v>622</v>
      </c>
      <c r="F16" s="25" t="s">
        <v>623</v>
      </c>
      <c r="G16" s="161">
        <v>1</v>
      </c>
      <c r="H16" s="161">
        <v>1</v>
      </c>
      <c r="I16" s="161">
        <v>8</v>
      </c>
      <c r="J16" s="161">
        <v>5</v>
      </c>
      <c r="K16" s="161">
        <v>12</v>
      </c>
      <c r="L16" s="161">
        <v>5</v>
      </c>
      <c r="M16" s="161">
        <v>8</v>
      </c>
      <c r="N16" s="161">
        <v>5</v>
      </c>
      <c r="O16" s="104" t="b">
        <v>0</v>
      </c>
      <c r="P16" s="585" t="str">
        <f t="shared" si="7"/>
        <v/>
      </c>
      <c r="Q16" s="32" t="str">
        <f t="shared" si="0"/>
        <v>Exeter</v>
      </c>
      <c r="R16" s="32" t="str">
        <f t="shared" si="1"/>
        <v>Charlton</v>
      </c>
      <c r="S16" s="31" t="str">
        <f t="shared" si="2"/>
        <v>1</v>
      </c>
      <c r="T16" s="32" t="str">
        <f t="shared" si="3"/>
        <v>1</v>
      </c>
      <c r="U16" s="27" t="str">
        <f t="shared" si="8"/>
        <v>Exeter  v  Charlton   8/5  12/5  8/5</v>
      </c>
      <c r="V16" s="30" t="str">
        <f t="shared" si="9"/>
        <v xml:space="preserve">Exeter 1-1 Charlton </v>
      </c>
      <c r="W16" t="str">
        <f t="shared" si="10"/>
        <v>8/5  12/5  8/5</v>
      </c>
      <c r="X16" s="17" t="str">
        <f t="shared" si="4"/>
        <v>8/5</v>
      </c>
      <c r="Y16" s="17" t="str">
        <f t="shared" si="5"/>
        <v>12/5</v>
      </c>
      <c r="Z16" s="17" t="str">
        <f t="shared" si="6"/>
        <v>8/5</v>
      </c>
      <c r="AA16" s="170">
        <f t="shared" si="11"/>
        <v>2.6</v>
      </c>
      <c r="AB16" s="170">
        <f t="shared" si="12"/>
        <v>3.4</v>
      </c>
      <c r="AC16" s="170">
        <f t="shared" si="13"/>
        <v>2.6</v>
      </c>
      <c r="AD16" s="11"/>
      <c r="AH16" s="11"/>
    </row>
    <row r="17" spans="1:34">
      <c r="A17" s="583">
        <v>16</v>
      </c>
      <c r="B17" s="25">
        <v>45380</v>
      </c>
      <c r="C17" s="161">
        <v>12</v>
      </c>
      <c r="D17" s="25" t="s">
        <v>572</v>
      </c>
      <c r="E17" s="25" t="s">
        <v>624</v>
      </c>
      <c r="F17" s="25" t="s">
        <v>625</v>
      </c>
      <c r="G17" s="161">
        <v>1</v>
      </c>
      <c r="H17" s="161">
        <v>2</v>
      </c>
      <c r="I17" s="161">
        <v>1</v>
      </c>
      <c r="J17" s="161">
        <v>1</v>
      </c>
      <c r="K17" s="161">
        <v>5</v>
      </c>
      <c r="L17" s="161">
        <v>2</v>
      </c>
      <c r="M17" s="161">
        <v>5</v>
      </c>
      <c r="N17" s="161">
        <v>2</v>
      </c>
      <c r="O17" s="104" t="b">
        <v>0</v>
      </c>
      <c r="P17" s="585" t="str">
        <f t="shared" si="7"/>
        <v/>
      </c>
      <c r="Q17" s="32" t="str">
        <f t="shared" si="0"/>
        <v>Fleetwood</v>
      </c>
      <c r="R17" s="32" t="str">
        <f t="shared" si="1"/>
        <v>Cheltenham</v>
      </c>
      <c r="S17" s="31" t="str">
        <f t="shared" si="2"/>
        <v>1</v>
      </c>
      <c r="T17" s="32" t="str">
        <f t="shared" si="3"/>
        <v>2</v>
      </c>
      <c r="U17" s="27" t="str">
        <f t="shared" si="8"/>
        <v>Fleetwood  v  Cheltenham   1/1  5/2  5/2</v>
      </c>
      <c r="V17" s="30" t="str">
        <f t="shared" si="9"/>
        <v xml:space="preserve">Fleetwood 1-2 Cheltenham </v>
      </c>
      <c r="W17" t="str">
        <f t="shared" si="10"/>
        <v>1/1  5/2  5/2</v>
      </c>
      <c r="X17" s="17" t="str">
        <f t="shared" si="4"/>
        <v>1/1</v>
      </c>
      <c r="Y17" s="17" t="str">
        <f t="shared" si="5"/>
        <v>5/2</v>
      </c>
      <c r="Z17" s="17" t="str">
        <f t="shared" si="6"/>
        <v>5/2</v>
      </c>
      <c r="AA17" s="170">
        <f t="shared" si="11"/>
        <v>2</v>
      </c>
      <c r="AB17" s="170">
        <f t="shared" si="12"/>
        <v>3.5</v>
      </c>
      <c r="AC17" s="170">
        <f t="shared" si="13"/>
        <v>3.5</v>
      </c>
      <c r="AD17" s="11"/>
      <c r="AH17" s="11"/>
    </row>
    <row r="18" spans="1:34">
      <c r="A18" s="583">
        <v>17</v>
      </c>
      <c r="B18" s="25">
        <v>45380</v>
      </c>
      <c r="C18" s="161">
        <v>12</v>
      </c>
      <c r="D18" s="25" t="s">
        <v>572</v>
      </c>
      <c r="E18" s="21" t="s">
        <v>626</v>
      </c>
      <c r="F18" s="25" t="s">
        <v>627</v>
      </c>
      <c r="G18" s="161">
        <v>1</v>
      </c>
      <c r="H18" s="161">
        <v>0</v>
      </c>
      <c r="I18" s="161">
        <v>1</v>
      </c>
      <c r="J18" s="161">
        <v>1</v>
      </c>
      <c r="K18" s="161">
        <v>23</v>
      </c>
      <c r="L18" s="161">
        <v>10</v>
      </c>
      <c r="M18" s="161">
        <v>27</v>
      </c>
      <c r="N18" s="161">
        <v>10</v>
      </c>
      <c r="O18" s="104" t="b">
        <v>0</v>
      </c>
      <c r="P18" s="585" t="str">
        <f t="shared" si="7"/>
        <v/>
      </c>
      <c r="Q18" s="32" t="str">
        <f t="shared" si="0"/>
        <v>Lincoln</v>
      </c>
      <c r="R18" s="32" t="str">
        <f t="shared" si="1"/>
        <v>Orient</v>
      </c>
      <c r="S18" s="31" t="str">
        <f t="shared" si="2"/>
        <v>1</v>
      </c>
      <c r="T18" s="32" t="str">
        <f t="shared" si="3"/>
        <v>0</v>
      </c>
      <c r="U18" s="27" t="str">
        <f t="shared" si="8"/>
        <v>Lincoln  v  Orient   1/1  23/10  27/10</v>
      </c>
      <c r="V18" s="30" t="str">
        <f t="shared" si="9"/>
        <v xml:space="preserve">Lincoln 1-0 Orient </v>
      </c>
      <c r="W18" t="str">
        <f t="shared" si="10"/>
        <v>1/1  23/10  27/10</v>
      </c>
      <c r="X18" s="17" t="str">
        <f t="shared" si="4"/>
        <v>1/1</v>
      </c>
      <c r="Y18" s="17" t="str">
        <f t="shared" si="5"/>
        <v>23/10</v>
      </c>
      <c r="Z18" s="17" t="str">
        <f t="shared" si="6"/>
        <v>27/10</v>
      </c>
      <c r="AA18" s="170">
        <f t="shared" si="11"/>
        <v>2</v>
      </c>
      <c r="AB18" s="170">
        <f t="shared" si="12"/>
        <v>3.3</v>
      </c>
      <c r="AC18" s="170">
        <f t="shared" si="13"/>
        <v>3.7</v>
      </c>
      <c r="AD18" s="11"/>
      <c r="AH18" s="11"/>
    </row>
    <row r="19" spans="1:34">
      <c r="A19" s="583">
        <v>18</v>
      </c>
      <c r="B19" s="25">
        <v>45380</v>
      </c>
      <c r="C19" s="161">
        <v>12</v>
      </c>
      <c r="D19" s="25" t="s">
        <v>572</v>
      </c>
      <c r="E19" s="25" t="s">
        <v>628</v>
      </c>
      <c r="F19" s="25" t="s">
        <v>574</v>
      </c>
      <c r="G19" s="161">
        <v>1</v>
      </c>
      <c r="H19" s="161">
        <v>3</v>
      </c>
      <c r="I19" s="161">
        <v>2</v>
      </c>
      <c r="J19" s="161">
        <v>7</v>
      </c>
      <c r="K19" s="161">
        <v>9</v>
      </c>
      <c r="L19" s="161">
        <v>2</v>
      </c>
      <c r="M19" s="161">
        <v>8</v>
      </c>
      <c r="N19" s="161">
        <v>1</v>
      </c>
      <c r="O19" s="105" t="b">
        <v>0</v>
      </c>
      <c r="P19" s="585" t="str">
        <f t="shared" si="7"/>
        <v/>
      </c>
      <c r="Q19" s="32" t="str">
        <f t="shared" si="0"/>
        <v>Peterborough</v>
      </c>
      <c r="R19" s="32" t="str">
        <f t="shared" si="1"/>
        <v>Carlisle</v>
      </c>
      <c r="S19" s="31" t="str">
        <f t="shared" si="2"/>
        <v>1</v>
      </c>
      <c r="T19" s="32" t="str">
        <f t="shared" si="3"/>
        <v>3</v>
      </c>
      <c r="U19" s="27" t="str">
        <f t="shared" si="8"/>
        <v>Peterborough  v  Carlisle   2/7  9/2  8/1</v>
      </c>
      <c r="V19" s="30" t="str">
        <f t="shared" si="9"/>
        <v xml:space="preserve">Peterborough 1-3 Carlisle </v>
      </c>
      <c r="W19" t="str">
        <f t="shared" si="10"/>
        <v>2/7  9/2  8/1</v>
      </c>
      <c r="X19" s="17" t="str">
        <f t="shared" si="4"/>
        <v>2/7</v>
      </c>
      <c r="Y19" s="17" t="str">
        <f t="shared" si="5"/>
        <v>9/2</v>
      </c>
      <c r="Z19" s="17" t="str">
        <f t="shared" si="6"/>
        <v>8/1</v>
      </c>
      <c r="AA19" s="170">
        <f t="shared" si="11"/>
        <v>1.2857142857142856</v>
      </c>
      <c r="AB19" s="170">
        <f t="shared" si="12"/>
        <v>5.5</v>
      </c>
      <c r="AC19" s="170">
        <f t="shared" si="13"/>
        <v>9</v>
      </c>
      <c r="AD19" s="11"/>
      <c r="AH19" s="11"/>
    </row>
    <row r="20" spans="1:34">
      <c r="A20" s="583">
        <v>19</v>
      </c>
      <c r="B20" s="25">
        <v>45380</v>
      </c>
      <c r="C20" s="161">
        <v>12</v>
      </c>
      <c r="D20" s="25" t="s">
        <v>572</v>
      </c>
      <c r="E20" s="25" t="s">
        <v>575</v>
      </c>
      <c r="F20" s="25" t="s">
        <v>629</v>
      </c>
      <c r="G20" s="161">
        <v>2</v>
      </c>
      <c r="H20" s="161">
        <v>0</v>
      </c>
      <c r="I20" s="161">
        <v>8</v>
      </c>
      <c r="J20" s="161">
        <v>5</v>
      </c>
      <c r="K20" s="161">
        <v>12</v>
      </c>
      <c r="L20" s="161">
        <v>5</v>
      </c>
      <c r="M20" s="161">
        <v>8</v>
      </c>
      <c r="N20" s="161">
        <v>5</v>
      </c>
      <c r="O20" s="105" t="b">
        <v>0</v>
      </c>
      <c r="P20" s="585" t="str">
        <f t="shared" si="7"/>
        <v/>
      </c>
      <c r="Q20" s="32" t="str">
        <f t="shared" si="0"/>
        <v>Port Vale</v>
      </c>
      <c r="R20" s="32" t="str">
        <f t="shared" si="1"/>
        <v>Bristol R</v>
      </c>
      <c r="S20" s="31" t="str">
        <f t="shared" si="2"/>
        <v>2</v>
      </c>
      <c r="T20" s="32" t="str">
        <f t="shared" si="3"/>
        <v>0</v>
      </c>
      <c r="U20" s="27" t="str">
        <f t="shared" si="8"/>
        <v>Port Vale  v  Bristol R   8/5  12/5  8/5</v>
      </c>
      <c r="V20" s="30" t="str">
        <f t="shared" si="9"/>
        <v xml:space="preserve">Port Vale 2-0 Bristol R </v>
      </c>
      <c r="W20" t="str">
        <f t="shared" si="10"/>
        <v>8/5  12/5  8/5</v>
      </c>
      <c r="X20" s="17" t="str">
        <f t="shared" si="4"/>
        <v>8/5</v>
      </c>
      <c r="Y20" s="17" t="str">
        <f t="shared" si="5"/>
        <v>12/5</v>
      </c>
      <c r="Z20" s="17" t="str">
        <f t="shared" si="6"/>
        <v>8/5</v>
      </c>
      <c r="AA20" s="170">
        <f t="shared" si="11"/>
        <v>2.6</v>
      </c>
      <c r="AB20" s="170">
        <f t="shared" si="12"/>
        <v>3.4</v>
      </c>
      <c r="AC20" s="170">
        <f t="shared" si="13"/>
        <v>2.6</v>
      </c>
      <c r="AD20" s="11"/>
      <c r="AH20" s="11"/>
    </row>
    <row r="21" spans="1:34">
      <c r="A21" s="583">
        <v>20</v>
      </c>
      <c r="B21" s="25">
        <v>45380</v>
      </c>
      <c r="C21" s="161">
        <v>12</v>
      </c>
      <c r="D21" s="25" t="s">
        <v>572</v>
      </c>
      <c r="E21" s="25" t="s">
        <v>630</v>
      </c>
      <c r="F21" s="25" t="s">
        <v>565</v>
      </c>
      <c r="G21" s="161">
        <v>1</v>
      </c>
      <c r="H21" s="161">
        <v>0</v>
      </c>
      <c r="I21" s="161">
        <v>7</v>
      </c>
      <c r="J21" s="161">
        <v>10</v>
      </c>
      <c r="K21" s="161">
        <v>14</v>
      </c>
      <c r="L21" s="161">
        <v>5</v>
      </c>
      <c r="M21" s="161">
        <v>7</v>
      </c>
      <c r="N21" s="161">
        <v>2</v>
      </c>
      <c r="O21" s="104" t="b">
        <v>0</v>
      </c>
      <c r="P21" s="585" t="str">
        <f t="shared" si="7"/>
        <v/>
      </c>
      <c r="Q21" s="32" t="str">
        <f t="shared" si="0"/>
        <v>Reading</v>
      </c>
      <c r="R21" s="32" t="str">
        <f t="shared" si="1"/>
        <v>Northampton</v>
      </c>
      <c r="S21" s="31" t="str">
        <f t="shared" si="2"/>
        <v>1</v>
      </c>
      <c r="T21" s="32" t="str">
        <f t="shared" si="3"/>
        <v>0</v>
      </c>
      <c r="U21" s="27" t="str">
        <f t="shared" si="8"/>
        <v>Reading  v  Northampton   7/10  14/5  7/2</v>
      </c>
      <c r="V21" s="30" t="str">
        <f t="shared" si="9"/>
        <v xml:space="preserve">Reading 1-0 Northampton </v>
      </c>
      <c r="W21" t="str">
        <f t="shared" si="10"/>
        <v>7/10  14/5  7/2</v>
      </c>
      <c r="X21" s="17" t="str">
        <f t="shared" si="4"/>
        <v>7/10</v>
      </c>
      <c r="Y21" s="17" t="str">
        <f t="shared" si="5"/>
        <v>14/5</v>
      </c>
      <c r="Z21" s="17" t="str">
        <f t="shared" si="6"/>
        <v>7/2</v>
      </c>
      <c r="AA21" s="170">
        <f t="shared" si="11"/>
        <v>1.7</v>
      </c>
      <c r="AB21" s="170">
        <f t="shared" si="12"/>
        <v>3.8</v>
      </c>
      <c r="AC21" s="170">
        <f t="shared" si="13"/>
        <v>4.5</v>
      </c>
      <c r="AD21" s="11"/>
      <c r="AH21" s="11"/>
    </row>
    <row r="22" spans="1:34">
      <c r="A22" s="583">
        <v>21</v>
      </c>
      <c r="B22" s="25">
        <v>45380</v>
      </c>
      <c r="C22" s="161">
        <v>12</v>
      </c>
      <c r="D22" s="25" t="s">
        <v>572</v>
      </c>
      <c r="E22" s="25" t="s">
        <v>631</v>
      </c>
      <c r="F22" s="25" t="s">
        <v>632</v>
      </c>
      <c r="G22" s="161">
        <v>1</v>
      </c>
      <c r="H22" s="161">
        <v>1</v>
      </c>
      <c r="I22" s="161">
        <v>27</v>
      </c>
      <c r="J22" s="161">
        <v>10</v>
      </c>
      <c r="K22" s="161">
        <v>5</v>
      </c>
      <c r="L22" s="161">
        <v>2</v>
      </c>
      <c r="M22" s="161">
        <v>19</v>
      </c>
      <c r="N22" s="161">
        <v>20</v>
      </c>
      <c r="O22" s="105" t="b">
        <v>0</v>
      </c>
      <c r="P22" s="585" t="str">
        <f t="shared" si="7"/>
        <v/>
      </c>
      <c r="Q22" s="32" t="str">
        <f t="shared" si="0"/>
        <v>Shrewsbury</v>
      </c>
      <c r="R22" s="32" t="str">
        <f t="shared" si="1"/>
        <v>Oxford</v>
      </c>
      <c r="S22" s="31" t="str">
        <f t="shared" si="2"/>
        <v>1</v>
      </c>
      <c r="T22" s="32" t="str">
        <f t="shared" si="3"/>
        <v>1</v>
      </c>
      <c r="U22" s="27" t="str">
        <f t="shared" si="8"/>
        <v>Shrewsbury  v  Oxford   27/10  5/2  19/20</v>
      </c>
      <c r="V22" s="30" t="str">
        <f t="shared" si="9"/>
        <v xml:space="preserve">Shrewsbury 1-1 Oxford </v>
      </c>
      <c r="W22" t="str">
        <f t="shared" si="10"/>
        <v>27/10  5/2  19/20</v>
      </c>
      <c r="X22" s="17" t="str">
        <f t="shared" si="4"/>
        <v>27/10</v>
      </c>
      <c r="Y22" s="17" t="str">
        <f t="shared" si="5"/>
        <v>5/2</v>
      </c>
      <c r="Z22" s="17" t="str">
        <f t="shared" si="6"/>
        <v>19/20</v>
      </c>
      <c r="AA22" s="170">
        <f t="shared" si="11"/>
        <v>3.7</v>
      </c>
      <c r="AB22" s="170">
        <f t="shared" si="12"/>
        <v>3.5</v>
      </c>
      <c r="AC22" s="170">
        <f t="shared" si="13"/>
        <v>1.95</v>
      </c>
      <c r="AD22" s="11"/>
      <c r="AH22" s="11"/>
    </row>
    <row r="23" spans="1:34">
      <c r="A23" s="583">
        <v>22</v>
      </c>
      <c r="B23" s="25">
        <v>45380</v>
      </c>
      <c r="C23" s="161">
        <v>12</v>
      </c>
      <c r="D23" s="25" t="s">
        <v>572</v>
      </c>
      <c r="E23" s="25" t="s">
        <v>576</v>
      </c>
      <c r="F23" s="25" t="s">
        <v>633</v>
      </c>
      <c r="G23" s="161">
        <v>0</v>
      </c>
      <c r="H23" s="161">
        <v>0</v>
      </c>
      <c r="I23" s="161">
        <v>17</v>
      </c>
      <c r="J23" s="161">
        <v>10</v>
      </c>
      <c r="K23" s="161">
        <v>9</v>
      </c>
      <c r="L23" s="161">
        <v>4</v>
      </c>
      <c r="M23" s="161">
        <v>8</v>
      </c>
      <c r="N23" s="161">
        <v>5</v>
      </c>
      <c r="O23" s="104" t="b">
        <v>0</v>
      </c>
      <c r="P23" s="585" t="str">
        <f t="shared" si="7"/>
        <v/>
      </c>
      <c r="Q23" s="32" t="str">
        <f t="shared" si="0"/>
        <v>Stevenage</v>
      </c>
      <c r="R23" s="32" t="str">
        <f t="shared" si="1"/>
        <v>Bolton</v>
      </c>
      <c r="S23" s="31" t="str">
        <f t="shared" si="2"/>
        <v>0</v>
      </c>
      <c r="T23" s="32" t="str">
        <f t="shared" si="3"/>
        <v>0</v>
      </c>
      <c r="U23" s="27" t="str">
        <f t="shared" si="8"/>
        <v>Stevenage  v  Bolton   17/10  9/4  8/5</v>
      </c>
      <c r="V23" s="30" t="str">
        <f t="shared" si="9"/>
        <v xml:space="preserve">Stevenage 0-0 Bolton </v>
      </c>
      <c r="W23" t="str">
        <f t="shared" si="10"/>
        <v>17/10  9/4  8/5</v>
      </c>
      <c r="X23" s="17" t="str">
        <f t="shared" si="4"/>
        <v>17/10</v>
      </c>
      <c r="Y23" s="17" t="str">
        <f t="shared" si="5"/>
        <v>9/4</v>
      </c>
      <c r="Z23" s="17" t="str">
        <f t="shared" si="6"/>
        <v>8/5</v>
      </c>
      <c r="AA23" s="170">
        <f t="shared" si="11"/>
        <v>2.7</v>
      </c>
      <c r="AB23" s="170">
        <f t="shared" si="12"/>
        <v>3.25</v>
      </c>
      <c r="AC23" s="170">
        <f t="shared" si="13"/>
        <v>2.6</v>
      </c>
      <c r="AD23" s="11"/>
      <c r="AH23" s="11"/>
    </row>
    <row r="24" spans="1:34">
      <c r="A24" s="583">
        <v>23</v>
      </c>
      <c r="B24" s="25">
        <v>45380</v>
      </c>
      <c r="C24" s="161">
        <v>12</v>
      </c>
      <c r="D24" s="25" t="s">
        <v>572</v>
      </c>
      <c r="E24" s="25" t="s">
        <v>348</v>
      </c>
      <c r="F24" s="25" t="s">
        <v>573</v>
      </c>
      <c r="G24" s="161">
        <v>1</v>
      </c>
      <c r="H24" s="161">
        <v>1</v>
      </c>
      <c r="I24" s="161">
        <v>19</v>
      </c>
      <c r="J24" s="161">
        <v>20</v>
      </c>
      <c r="K24" s="161">
        <v>12</v>
      </c>
      <c r="L24" s="161">
        <v>5</v>
      </c>
      <c r="M24" s="161">
        <v>11</v>
      </c>
      <c r="N24" s="161">
        <v>4</v>
      </c>
      <c r="O24" s="104" t="b">
        <v>0</v>
      </c>
      <c r="P24" s="585" t="str">
        <f t="shared" si="7"/>
        <v/>
      </c>
      <c r="Q24" s="32" t="str">
        <f t="shared" si="0"/>
        <v>Wigan</v>
      </c>
      <c r="R24" s="32" t="str">
        <f t="shared" si="1"/>
        <v>Burton</v>
      </c>
      <c r="S24" s="31" t="str">
        <f t="shared" si="2"/>
        <v>1</v>
      </c>
      <c r="T24" s="32" t="str">
        <f t="shared" si="3"/>
        <v>1</v>
      </c>
      <c r="U24" s="27" t="str">
        <f t="shared" si="8"/>
        <v>Wigan  v  Burton   19/20  12/5  11/4</v>
      </c>
      <c r="V24" s="30" t="str">
        <f t="shared" si="9"/>
        <v xml:space="preserve">Wigan 1-1 Burton </v>
      </c>
      <c r="W24" t="str">
        <f t="shared" si="10"/>
        <v>19/20  12/5  11/4</v>
      </c>
      <c r="X24" s="17" t="str">
        <f t="shared" si="4"/>
        <v>19/20</v>
      </c>
      <c r="Y24" s="17" t="str">
        <f t="shared" si="5"/>
        <v>12/5</v>
      </c>
      <c r="Z24" s="17" t="str">
        <f t="shared" si="6"/>
        <v>11/4</v>
      </c>
      <c r="AA24" s="170">
        <f t="shared" si="11"/>
        <v>1.95</v>
      </c>
      <c r="AB24" s="170">
        <f t="shared" si="12"/>
        <v>3.4</v>
      </c>
      <c r="AC24" s="170">
        <f t="shared" si="13"/>
        <v>3.75</v>
      </c>
      <c r="AD24" s="11"/>
      <c r="AH24" s="11"/>
    </row>
    <row r="25" spans="1:34">
      <c r="A25" s="583">
        <v>24</v>
      </c>
      <c r="B25" s="25">
        <v>45380</v>
      </c>
      <c r="C25" s="161">
        <v>12</v>
      </c>
      <c r="D25" s="25" t="s">
        <v>572</v>
      </c>
      <c r="E25" s="25" t="s">
        <v>427</v>
      </c>
      <c r="F25" s="25" t="s">
        <v>415</v>
      </c>
      <c r="G25" s="161">
        <v>1</v>
      </c>
      <c r="H25" s="161">
        <v>3</v>
      </c>
      <c r="I25" s="161">
        <v>11</v>
      </c>
      <c r="J25" s="161">
        <v>5</v>
      </c>
      <c r="K25" s="161">
        <v>12</v>
      </c>
      <c r="L25" s="161">
        <v>5</v>
      </c>
      <c r="M25" s="161">
        <v>23</v>
      </c>
      <c r="N25" s="161">
        <v>20</v>
      </c>
      <c r="O25" s="104" t="b">
        <v>0</v>
      </c>
      <c r="P25" s="585" t="str">
        <f t="shared" si="7"/>
        <v/>
      </c>
      <c r="Q25" s="32" t="str">
        <f t="shared" si="0"/>
        <v>Wycombe</v>
      </c>
      <c r="R25" s="32" t="str">
        <f t="shared" si="1"/>
        <v>Portsmouth</v>
      </c>
      <c r="S25" s="31" t="str">
        <f t="shared" si="2"/>
        <v>1</v>
      </c>
      <c r="T25" s="32" t="str">
        <f t="shared" si="3"/>
        <v>3</v>
      </c>
      <c r="U25" s="27" t="str">
        <f t="shared" si="8"/>
        <v>Wycombe  v  Portsmouth   11/5  12/5  23/20</v>
      </c>
      <c r="V25" s="30" t="str">
        <f t="shared" si="9"/>
        <v xml:space="preserve">Wycombe 1-3 Portsmouth </v>
      </c>
      <c r="W25" t="str">
        <f t="shared" si="10"/>
        <v>11/5  12/5  23/20</v>
      </c>
      <c r="X25" s="17" t="str">
        <f t="shared" si="4"/>
        <v>11/5</v>
      </c>
      <c r="Y25" s="17" t="str">
        <f t="shared" si="5"/>
        <v>12/5</v>
      </c>
      <c r="Z25" s="17" t="str">
        <f t="shared" si="6"/>
        <v>23/20</v>
      </c>
      <c r="AA25" s="170">
        <f t="shared" si="11"/>
        <v>3.2</v>
      </c>
      <c r="AB25" s="170">
        <f t="shared" si="12"/>
        <v>3.4</v>
      </c>
      <c r="AC25" s="170">
        <f t="shared" si="13"/>
        <v>2.15</v>
      </c>
      <c r="AD25" s="11"/>
      <c r="AH25" s="11"/>
    </row>
    <row r="26" spans="1:34">
      <c r="A26" s="583">
        <v>25</v>
      </c>
      <c r="B26" s="25">
        <v>45380</v>
      </c>
      <c r="C26" s="161">
        <v>13</v>
      </c>
      <c r="D26" s="25" t="s">
        <v>577</v>
      </c>
      <c r="E26" s="25" t="s">
        <v>578</v>
      </c>
      <c r="F26" s="25" t="s">
        <v>588</v>
      </c>
      <c r="G26" s="161">
        <v>1</v>
      </c>
      <c r="H26" s="161">
        <v>2</v>
      </c>
      <c r="I26" s="161">
        <v>11</v>
      </c>
      <c r="J26" s="161">
        <v>10</v>
      </c>
      <c r="K26" s="161">
        <v>13</v>
      </c>
      <c r="L26" s="161">
        <v>5</v>
      </c>
      <c r="M26" s="161">
        <v>11</v>
      </c>
      <c r="N26" s="161">
        <v>5</v>
      </c>
      <c r="O26" s="105" t="b">
        <v>0</v>
      </c>
      <c r="P26" s="585" t="str">
        <f t="shared" si="7"/>
        <v/>
      </c>
      <c r="Q26" s="32" t="str">
        <f t="shared" si="0"/>
        <v>Accrington</v>
      </c>
      <c r="R26" s="32" t="str">
        <f t="shared" si="1"/>
        <v>Morecambe</v>
      </c>
      <c r="S26" s="31" t="str">
        <f t="shared" si="2"/>
        <v>1</v>
      </c>
      <c r="T26" s="32" t="str">
        <f t="shared" si="3"/>
        <v>2</v>
      </c>
      <c r="U26" s="27" t="str">
        <f t="shared" si="8"/>
        <v>Accrington  v  Morecambe   11/10  13/5  11/5</v>
      </c>
      <c r="V26" s="30" t="str">
        <f t="shared" si="9"/>
        <v xml:space="preserve">Accrington 1-2 Morecambe </v>
      </c>
      <c r="W26" t="str">
        <f t="shared" si="10"/>
        <v>11/10  13/5  11/5</v>
      </c>
      <c r="X26" s="17" t="str">
        <f t="shared" si="4"/>
        <v>11/10</v>
      </c>
      <c r="Y26" s="17" t="str">
        <f t="shared" si="5"/>
        <v>13/5</v>
      </c>
      <c r="Z26" s="17" t="str">
        <f t="shared" si="6"/>
        <v>11/5</v>
      </c>
      <c r="AA26" s="170">
        <f t="shared" si="11"/>
        <v>2.1</v>
      </c>
      <c r="AB26" s="170">
        <f t="shared" si="12"/>
        <v>3.6</v>
      </c>
      <c r="AC26" s="170">
        <f t="shared" si="13"/>
        <v>3.2</v>
      </c>
      <c r="AD26" s="11"/>
      <c r="AH26" s="11"/>
    </row>
    <row r="27" spans="1:34">
      <c r="A27" s="583">
        <v>26</v>
      </c>
      <c r="B27" s="25">
        <v>45380</v>
      </c>
      <c r="C27" s="161">
        <v>13</v>
      </c>
      <c r="D27" s="25" t="s">
        <v>577</v>
      </c>
      <c r="E27" s="25" t="s">
        <v>580</v>
      </c>
      <c r="F27" s="25" t="s">
        <v>592</v>
      </c>
      <c r="G27" s="161">
        <v>3</v>
      </c>
      <c r="H27" s="161">
        <v>1</v>
      </c>
      <c r="I27" s="161">
        <v>19</v>
      </c>
      <c r="J27" s="161">
        <v>20</v>
      </c>
      <c r="K27" s="161">
        <v>12</v>
      </c>
      <c r="L27" s="161">
        <v>5</v>
      </c>
      <c r="M27" s="161">
        <v>11</v>
      </c>
      <c r="N27" s="161">
        <v>4</v>
      </c>
      <c r="O27" s="104" t="b">
        <v>0</v>
      </c>
      <c r="P27" s="585" t="str">
        <f t="shared" si="7"/>
        <v/>
      </c>
      <c r="Q27" s="32" t="str">
        <f t="shared" si="0"/>
        <v>Barrow</v>
      </c>
      <c r="R27" s="32" t="str">
        <f t="shared" si="1"/>
        <v>Grimsby</v>
      </c>
      <c r="S27" s="31" t="str">
        <f t="shared" si="2"/>
        <v>3</v>
      </c>
      <c r="T27" s="32" t="str">
        <f t="shared" si="3"/>
        <v>1</v>
      </c>
      <c r="U27" s="27" t="str">
        <f t="shared" si="8"/>
        <v>Barrow  v  Grimsby   19/20  12/5  11/4</v>
      </c>
      <c r="V27" s="30" t="str">
        <f t="shared" si="9"/>
        <v xml:space="preserve">Barrow 3-1 Grimsby </v>
      </c>
      <c r="W27" t="str">
        <f t="shared" si="10"/>
        <v>19/20  12/5  11/4</v>
      </c>
      <c r="X27" s="17" t="str">
        <f t="shared" si="4"/>
        <v>19/20</v>
      </c>
      <c r="Y27" s="17" t="str">
        <f t="shared" si="5"/>
        <v>12/5</v>
      </c>
      <c r="Z27" s="17" t="str">
        <f t="shared" si="6"/>
        <v>11/4</v>
      </c>
      <c r="AA27" s="170">
        <f t="shared" si="11"/>
        <v>1.95</v>
      </c>
      <c r="AB27" s="170">
        <f t="shared" si="12"/>
        <v>3.4</v>
      </c>
      <c r="AC27" s="170">
        <f t="shared" si="13"/>
        <v>3.75</v>
      </c>
      <c r="AD27" s="11"/>
      <c r="AH27" s="11"/>
    </row>
    <row r="28" spans="1:34">
      <c r="A28" s="583">
        <v>27</v>
      </c>
      <c r="B28" s="25">
        <v>45380</v>
      </c>
      <c r="C28" s="161">
        <v>13</v>
      </c>
      <c r="D28" s="25" t="s">
        <v>577</v>
      </c>
      <c r="E28" s="21" t="s">
        <v>579</v>
      </c>
      <c r="F28" s="25" t="s">
        <v>584</v>
      </c>
      <c r="G28" s="161">
        <v>2</v>
      </c>
      <c r="H28" s="161">
        <v>0</v>
      </c>
      <c r="I28" s="161">
        <v>1</v>
      </c>
      <c r="J28" s="161">
        <v>1</v>
      </c>
      <c r="K28" s="161">
        <v>5</v>
      </c>
      <c r="L28" s="161">
        <v>2</v>
      </c>
      <c r="M28" s="161">
        <v>5</v>
      </c>
      <c r="N28" s="161">
        <v>2</v>
      </c>
      <c r="O28" s="105" t="b">
        <v>0</v>
      </c>
      <c r="P28" s="585" t="str">
        <f t="shared" si="7"/>
        <v/>
      </c>
      <c r="Q28" s="32" t="str">
        <f t="shared" si="0"/>
        <v>Bradford</v>
      </c>
      <c r="R28" s="32" t="str">
        <f t="shared" si="1"/>
        <v>Tranmere</v>
      </c>
      <c r="S28" s="31" t="str">
        <f t="shared" si="2"/>
        <v>2</v>
      </c>
      <c r="T28" s="32" t="str">
        <f t="shared" si="3"/>
        <v>0</v>
      </c>
      <c r="U28" s="27" t="str">
        <f t="shared" si="8"/>
        <v>Bradford  v  Tranmere   1/1  5/2  5/2</v>
      </c>
      <c r="V28" s="30" t="str">
        <f t="shared" si="9"/>
        <v xml:space="preserve">Bradford 2-0 Tranmere </v>
      </c>
      <c r="W28" t="str">
        <f t="shared" si="10"/>
        <v>1/1  5/2  5/2</v>
      </c>
      <c r="X28" s="17" t="str">
        <f t="shared" si="4"/>
        <v>1/1</v>
      </c>
      <c r="Y28" s="17" t="str">
        <f t="shared" si="5"/>
        <v>5/2</v>
      </c>
      <c r="Z28" s="17" t="str">
        <f t="shared" si="6"/>
        <v>5/2</v>
      </c>
      <c r="AA28" s="170">
        <f t="shared" si="11"/>
        <v>2</v>
      </c>
      <c r="AB28" s="170">
        <f t="shared" si="12"/>
        <v>3.5</v>
      </c>
      <c r="AC28" s="170">
        <f t="shared" si="13"/>
        <v>3.5</v>
      </c>
      <c r="AD28" s="11"/>
      <c r="AH28" s="11"/>
    </row>
    <row r="29" spans="1:34">
      <c r="A29" s="583">
        <v>28</v>
      </c>
      <c r="B29" s="25">
        <v>45380</v>
      </c>
      <c r="C29" s="161">
        <v>13</v>
      </c>
      <c r="D29" s="25" t="s">
        <v>577</v>
      </c>
      <c r="E29" s="25" t="s">
        <v>581</v>
      </c>
      <c r="F29" s="25" t="s">
        <v>591</v>
      </c>
      <c r="G29" s="161">
        <v>2</v>
      </c>
      <c r="H29" s="161">
        <v>1</v>
      </c>
      <c r="I29" s="161">
        <v>1</v>
      </c>
      <c r="J29" s="161">
        <v>1</v>
      </c>
      <c r="K29" s="161">
        <v>13</v>
      </c>
      <c r="L29" s="161">
        <v>5</v>
      </c>
      <c r="M29" s="161">
        <v>5</v>
      </c>
      <c r="N29" s="161">
        <v>2</v>
      </c>
      <c r="O29" s="105" t="b">
        <v>0</v>
      </c>
      <c r="P29" s="585" t="str">
        <f t="shared" si="7"/>
        <v/>
      </c>
      <c r="Q29" s="32" t="str">
        <f t="shared" si="0"/>
        <v>Colchester</v>
      </c>
      <c r="R29" s="32" t="str">
        <f t="shared" si="1"/>
        <v>Newport</v>
      </c>
      <c r="S29" s="31" t="str">
        <f t="shared" si="2"/>
        <v>2</v>
      </c>
      <c r="T29" s="32" t="str">
        <f t="shared" si="3"/>
        <v>1</v>
      </c>
      <c r="U29" s="27" t="str">
        <f t="shared" si="8"/>
        <v>Colchester  v  Newport   1/1  13/5  5/2</v>
      </c>
      <c r="V29" s="30" t="str">
        <f t="shared" si="9"/>
        <v xml:space="preserve">Colchester 2-1 Newport </v>
      </c>
      <c r="W29" t="str">
        <f t="shared" si="10"/>
        <v>1/1  13/5  5/2</v>
      </c>
      <c r="X29" s="17" t="str">
        <f t="shared" si="4"/>
        <v>1/1</v>
      </c>
      <c r="Y29" s="17" t="str">
        <f t="shared" si="5"/>
        <v>13/5</v>
      </c>
      <c r="Z29" s="17" t="str">
        <f t="shared" si="6"/>
        <v>5/2</v>
      </c>
      <c r="AA29" s="170">
        <f t="shared" si="11"/>
        <v>2</v>
      </c>
      <c r="AB29" s="170">
        <f t="shared" si="12"/>
        <v>3.6</v>
      </c>
      <c r="AC29" s="170">
        <f t="shared" si="13"/>
        <v>3.5</v>
      </c>
      <c r="AD29" s="11"/>
      <c r="AH29" s="11"/>
    </row>
    <row r="30" spans="1:34">
      <c r="A30" s="583">
        <v>29</v>
      </c>
      <c r="B30" s="25">
        <v>45380</v>
      </c>
      <c r="C30" s="161">
        <v>13</v>
      </c>
      <c r="D30" s="25" t="s">
        <v>577</v>
      </c>
      <c r="E30" s="25" t="s">
        <v>595</v>
      </c>
      <c r="F30" s="25" t="s">
        <v>414</v>
      </c>
      <c r="G30" s="161">
        <v>0</v>
      </c>
      <c r="H30" s="161">
        <v>2</v>
      </c>
      <c r="I30" s="161">
        <v>23</v>
      </c>
      <c r="J30" s="161">
        <v>20</v>
      </c>
      <c r="K30" s="161">
        <v>13</v>
      </c>
      <c r="L30" s="161">
        <v>5</v>
      </c>
      <c r="M30" s="161">
        <v>2</v>
      </c>
      <c r="N30" s="161">
        <v>1</v>
      </c>
      <c r="O30" s="104" t="b">
        <v>0</v>
      </c>
      <c r="P30" s="585" t="str">
        <f t="shared" si="7"/>
        <v/>
      </c>
      <c r="Q30" s="32" t="str">
        <f t="shared" si="0"/>
        <v>Crawley</v>
      </c>
      <c r="R30" s="32" t="str">
        <f t="shared" si="1"/>
        <v>Doncaster</v>
      </c>
      <c r="S30" s="31" t="str">
        <f t="shared" si="2"/>
        <v>0</v>
      </c>
      <c r="T30" s="32" t="str">
        <f t="shared" si="3"/>
        <v>2</v>
      </c>
      <c r="U30" s="27" t="str">
        <f t="shared" si="8"/>
        <v>Crawley  v  Doncaster   23/20  13/5  2/1</v>
      </c>
      <c r="V30" s="30" t="str">
        <f t="shared" si="9"/>
        <v xml:space="preserve">Crawley 0-2 Doncaster </v>
      </c>
      <c r="W30" t="str">
        <f t="shared" si="10"/>
        <v>23/20  13/5  2/1</v>
      </c>
      <c r="X30" s="17" t="str">
        <f t="shared" si="4"/>
        <v>23/20</v>
      </c>
      <c r="Y30" s="17" t="str">
        <f t="shared" si="5"/>
        <v>13/5</v>
      </c>
      <c r="Z30" s="17" t="str">
        <f t="shared" si="6"/>
        <v>2/1</v>
      </c>
      <c r="AA30" s="170">
        <f t="shared" si="11"/>
        <v>2.15</v>
      </c>
      <c r="AB30" s="170">
        <f t="shared" si="12"/>
        <v>3.6</v>
      </c>
      <c r="AC30" s="170">
        <f t="shared" si="13"/>
        <v>3</v>
      </c>
      <c r="AD30" s="11"/>
      <c r="AH30" s="11"/>
    </row>
    <row r="31" spans="1:34">
      <c r="A31" s="583">
        <v>30</v>
      </c>
      <c r="B31" s="25">
        <v>45380</v>
      </c>
      <c r="C31" s="161">
        <v>13</v>
      </c>
      <c r="D31" s="25" t="s">
        <v>577</v>
      </c>
      <c r="E31" s="25" t="s">
        <v>583</v>
      </c>
      <c r="F31" s="25" t="s">
        <v>594</v>
      </c>
      <c r="G31" s="161">
        <v>0</v>
      </c>
      <c r="H31" s="161">
        <v>3</v>
      </c>
      <c r="I31" s="161">
        <v>4</v>
      </c>
      <c r="J31" s="161">
        <v>1</v>
      </c>
      <c r="K31" s="161">
        <v>14</v>
      </c>
      <c r="L31" s="161">
        <v>5</v>
      </c>
      <c r="M31" s="161">
        <v>13</v>
      </c>
      <c r="N31" s="161">
        <v>20</v>
      </c>
      <c r="O31" s="104" t="b">
        <v>0</v>
      </c>
      <c r="P31" s="585" t="str">
        <f t="shared" si="7"/>
        <v/>
      </c>
      <c r="Q31" s="32" t="str">
        <f t="shared" si="0"/>
        <v>Forest Green</v>
      </c>
      <c r="R31" s="32" t="str">
        <f t="shared" si="1"/>
        <v>Stockport</v>
      </c>
      <c r="S31" s="31" t="str">
        <f t="shared" si="2"/>
        <v>0</v>
      </c>
      <c r="T31" s="32" t="str">
        <f t="shared" si="3"/>
        <v>3</v>
      </c>
      <c r="U31" s="27" t="str">
        <f t="shared" si="8"/>
        <v>Forest Green  v  Stockport   4/1  14/5  13/20</v>
      </c>
      <c r="V31" s="30" t="str">
        <f t="shared" si="9"/>
        <v xml:space="preserve">Forest Green 0-3 Stockport </v>
      </c>
      <c r="W31" t="str">
        <f t="shared" si="10"/>
        <v>4/1  14/5  13/20</v>
      </c>
      <c r="X31" s="17" t="str">
        <f t="shared" si="4"/>
        <v>4/1</v>
      </c>
      <c r="Y31" s="17" t="str">
        <f t="shared" si="5"/>
        <v>14/5</v>
      </c>
      <c r="Z31" s="17" t="str">
        <f t="shared" si="6"/>
        <v>13/20</v>
      </c>
      <c r="AA31" s="170">
        <f t="shared" si="11"/>
        <v>5</v>
      </c>
      <c r="AB31" s="170">
        <f t="shared" si="12"/>
        <v>3.8</v>
      </c>
      <c r="AC31" s="170">
        <f t="shared" si="13"/>
        <v>1.65</v>
      </c>
      <c r="AD31" s="11"/>
      <c r="AH31" s="11"/>
    </row>
    <row r="32" spans="1:34">
      <c r="A32" s="583">
        <v>31</v>
      </c>
      <c r="B32" s="25">
        <v>45380</v>
      </c>
      <c r="C32" s="161">
        <v>13</v>
      </c>
      <c r="D32" s="25" t="s">
        <v>577</v>
      </c>
      <c r="E32" s="25" t="s">
        <v>554</v>
      </c>
      <c r="F32" s="25" t="s">
        <v>582</v>
      </c>
      <c r="G32" s="161">
        <v>0</v>
      </c>
      <c r="H32" s="161">
        <v>0</v>
      </c>
      <c r="I32" s="161">
        <v>1</v>
      </c>
      <c r="J32" s="161">
        <v>1</v>
      </c>
      <c r="K32" s="161">
        <v>5</v>
      </c>
      <c r="L32" s="161">
        <v>2</v>
      </c>
      <c r="M32" s="161">
        <v>5</v>
      </c>
      <c r="N32" s="161">
        <v>2</v>
      </c>
      <c r="O32" s="104" t="b">
        <v>0</v>
      </c>
      <c r="P32" s="585" t="str">
        <f t="shared" si="7"/>
        <v/>
      </c>
      <c r="Q32" s="32" t="str">
        <f t="shared" si="0"/>
        <v>Gillingham</v>
      </c>
      <c r="R32" s="32" t="str">
        <f t="shared" si="1"/>
        <v>Crewe</v>
      </c>
      <c r="S32" s="31" t="str">
        <f t="shared" si="2"/>
        <v>0</v>
      </c>
      <c r="T32" s="32" t="str">
        <f t="shared" si="3"/>
        <v>0</v>
      </c>
      <c r="U32" s="27" t="str">
        <f t="shared" si="8"/>
        <v>Gillingham  v  Crewe   1/1  5/2  5/2</v>
      </c>
      <c r="V32" s="30" t="str">
        <f t="shared" si="9"/>
        <v xml:space="preserve">Gillingham 0-0 Crewe </v>
      </c>
      <c r="W32" t="str">
        <f t="shared" si="10"/>
        <v>1/1  5/2  5/2</v>
      </c>
      <c r="X32" s="17" t="str">
        <f t="shared" si="4"/>
        <v>1/1</v>
      </c>
      <c r="Y32" s="17" t="str">
        <f t="shared" si="5"/>
        <v>5/2</v>
      </c>
      <c r="Z32" s="17" t="str">
        <f t="shared" si="6"/>
        <v>5/2</v>
      </c>
      <c r="AA32" s="170">
        <f t="shared" si="11"/>
        <v>2</v>
      </c>
      <c r="AB32" s="170">
        <f t="shared" si="12"/>
        <v>3.5</v>
      </c>
      <c r="AC32" s="170">
        <f t="shared" si="13"/>
        <v>3.5</v>
      </c>
      <c r="AD32" s="11"/>
      <c r="AH32" s="11"/>
    </row>
    <row r="33" spans="1:34">
      <c r="A33" s="583">
        <v>32</v>
      </c>
      <c r="B33" s="25">
        <v>45380</v>
      </c>
      <c r="C33" s="161">
        <v>13</v>
      </c>
      <c r="D33" s="25" t="s">
        <v>577</v>
      </c>
      <c r="E33" s="25" t="s">
        <v>587</v>
      </c>
      <c r="F33" s="21" t="s">
        <v>634</v>
      </c>
      <c r="G33" s="161">
        <v>5</v>
      </c>
      <c r="H33" s="161">
        <v>0</v>
      </c>
      <c r="I33" s="161">
        <v>10</v>
      </c>
      <c r="J33" s="161">
        <v>11</v>
      </c>
      <c r="K33" s="161">
        <v>27</v>
      </c>
      <c r="L33" s="161">
        <v>10</v>
      </c>
      <c r="M33" s="161">
        <v>13</v>
      </c>
      <c r="N33" s="161">
        <v>5</v>
      </c>
      <c r="O33" s="105" t="b">
        <v>0</v>
      </c>
      <c r="P33" s="585" t="str">
        <f t="shared" si="7"/>
        <v/>
      </c>
      <c r="Q33" s="32" t="str">
        <f t="shared" ref="Q33:Q47" si="14">TRIM(E33)</f>
        <v>MK Dons</v>
      </c>
      <c r="R33" s="32" t="str">
        <f t="shared" ref="R33:R47" si="15">TRIM(F33)</f>
        <v>Walsall</v>
      </c>
      <c r="S33" s="31" t="str">
        <f t="shared" ref="S33:S47" si="16">TRIM(G33)</f>
        <v>5</v>
      </c>
      <c r="T33" s="32" t="str">
        <f t="shared" ref="T33:T47" si="17">TRIM(H33)</f>
        <v>0</v>
      </c>
      <c r="U33" s="27" t="str">
        <f t="shared" si="8"/>
        <v>MK Dons  v  Walsall   10/11  27/10  13/5</v>
      </c>
      <c r="V33" s="30" t="str">
        <f t="shared" si="9"/>
        <v xml:space="preserve">MK Dons 5-0 Walsall </v>
      </c>
      <c r="W33" t="str">
        <f t="shared" si="10"/>
        <v>10/11  27/10  13/5</v>
      </c>
      <c r="X33" s="17" t="str">
        <f t="shared" ref="X33:X47" si="18">CONCATENATE(I33,"/",J33)</f>
        <v>10/11</v>
      </c>
      <c r="Y33" s="17" t="str">
        <f t="shared" ref="Y33:Y47" si="19">CONCATENATE(K33,"/",L33)</f>
        <v>27/10</v>
      </c>
      <c r="Z33" s="17" t="str">
        <f t="shared" ref="Z33:Z47" si="20">CONCATENATE(M33,"/",N33)</f>
        <v>13/5</v>
      </c>
      <c r="AA33" s="170">
        <f t="shared" si="11"/>
        <v>1.9090909090909092</v>
      </c>
      <c r="AB33" s="170">
        <f t="shared" si="12"/>
        <v>3.7</v>
      </c>
      <c r="AC33" s="170">
        <f t="shared" si="13"/>
        <v>3.6</v>
      </c>
      <c r="AD33" s="11"/>
      <c r="AH33" s="11"/>
    </row>
    <row r="34" spans="1:34">
      <c r="A34" s="583">
        <v>33</v>
      </c>
      <c r="B34" s="25">
        <v>45380</v>
      </c>
      <c r="C34" s="161">
        <v>13</v>
      </c>
      <c r="D34" s="25" t="s">
        <v>577</v>
      </c>
      <c r="E34" s="25" t="s">
        <v>555</v>
      </c>
      <c r="F34" s="25" t="s">
        <v>569</v>
      </c>
      <c r="G34" s="161">
        <v>1</v>
      </c>
      <c r="H34" s="161">
        <v>2</v>
      </c>
      <c r="I34" s="161">
        <v>4</v>
      </c>
      <c r="J34" s="161">
        <v>5</v>
      </c>
      <c r="K34" s="161">
        <v>14</v>
      </c>
      <c r="L34" s="161">
        <v>5</v>
      </c>
      <c r="M34" s="161">
        <v>3</v>
      </c>
      <c r="N34" s="161">
        <v>1</v>
      </c>
      <c r="O34" s="105" t="b">
        <v>0</v>
      </c>
      <c r="P34" s="585" t="str">
        <f t="shared" si="7"/>
        <v/>
      </c>
      <c r="Q34" s="32" t="str">
        <f t="shared" si="14"/>
        <v>Salford</v>
      </c>
      <c r="R34" s="32" t="str">
        <f t="shared" si="15"/>
        <v>Sutton</v>
      </c>
      <c r="S34" s="31" t="str">
        <f t="shared" si="16"/>
        <v>1</v>
      </c>
      <c r="T34" s="32" t="str">
        <f t="shared" si="17"/>
        <v>2</v>
      </c>
      <c r="U34" s="27" t="str">
        <f t="shared" si="8"/>
        <v>Salford  v  Sutton   4/5  14/5  3/1</v>
      </c>
      <c r="V34" s="30" t="str">
        <f t="shared" si="9"/>
        <v xml:space="preserve">Salford 1-2 Sutton </v>
      </c>
      <c r="W34" t="str">
        <f t="shared" si="10"/>
        <v>4/5  14/5  3/1</v>
      </c>
      <c r="X34" s="17" t="str">
        <f t="shared" si="18"/>
        <v>4/5</v>
      </c>
      <c r="Y34" s="17" t="str">
        <f t="shared" si="19"/>
        <v>14/5</v>
      </c>
      <c r="Z34" s="17" t="str">
        <f t="shared" si="20"/>
        <v>3/1</v>
      </c>
      <c r="AA34" s="170">
        <f t="shared" si="11"/>
        <v>1.8</v>
      </c>
      <c r="AB34" s="170">
        <f t="shared" si="12"/>
        <v>3.8</v>
      </c>
      <c r="AC34" s="170">
        <f t="shared" si="13"/>
        <v>4</v>
      </c>
      <c r="AD34" s="11"/>
      <c r="AH34" s="11"/>
    </row>
    <row r="35" spans="1:34">
      <c r="A35" s="583">
        <v>34</v>
      </c>
      <c r="B35" s="25">
        <v>45380</v>
      </c>
      <c r="C35" s="161">
        <v>13</v>
      </c>
      <c r="D35" s="25" t="s">
        <v>577</v>
      </c>
      <c r="E35" s="25" t="s">
        <v>635</v>
      </c>
      <c r="F35" s="25" t="s">
        <v>589</v>
      </c>
      <c r="G35" s="161">
        <v>2</v>
      </c>
      <c r="H35" s="161">
        <v>1</v>
      </c>
      <c r="I35" s="161">
        <v>5</v>
      </c>
      <c r="J35" s="161">
        <v>4</v>
      </c>
      <c r="K35" s="161">
        <v>29</v>
      </c>
      <c r="L35" s="161">
        <v>10</v>
      </c>
      <c r="M35" s="161">
        <v>17</v>
      </c>
      <c r="N35" s="161">
        <v>10</v>
      </c>
      <c r="O35" s="105" t="b">
        <v>0</v>
      </c>
      <c r="P35" s="585" t="str">
        <f t="shared" si="7"/>
        <v/>
      </c>
      <c r="Q35" s="32" t="str">
        <f t="shared" si="14"/>
        <v>Swindon</v>
      </c>
      <c r="R35" s="32" t="str">
        <f t="shared" si="15"/>
        <v>Notts Co</v>
      </c>
      <c r="S35" s="31" t="str">
        <f t="shared" si="16"/>
        <v>2</v>
      </c>
      <c r="T35" s="32" t="str">
        <f t="shared" si="17"/>
        <v>1</v>
      </c>
      <c r="U35" s="27" t="str">
        <f t="shared" si="8"/>
        <v>Swindon  v  Notts Co   5/4  29/10  17/10</v>
      </c>
      <c r="V35" s="30" t="str">
        <f t="shared" si="9"/>
        <v xml:space="preserve">Swindon 2-1 Notts Co </v>
      </c>
      <c r="W35" t="str">
        <f t="shared" si="10"/>
        <v>5/4  29/10  17/10</v>
      </c>
      <c r="X35" s="17" t="str">
        <f t="shared" si="18"/>
        <v>5/4</v>
      </c>
      <c r="Y35" s="17" t="str">
        <f t="shared" si="19"/>
        <v>29/10</v>
      </c>
      <c r="Z35" s="17" t="str">
        <f t="shared" si="20"/>
        <v>17/10</v>
      </c>
      <c r="AA35" s="170">
        <f t="shared" si="11"/>
        <v>2.25</v>
      </c>
      <c r="AB35" s="170">
        <f t="shared" si="12"/>
        <v>3.9</v>
      </c>
      <c r="AC35" s="170">
        <f t="shared" si="13"/>
        <v>2.7</v>
      </c>
      <c r="AD35" s="11"/>
      <c r="AH35" s="11"/>
    </row>
    <row r="36" spans="1:34">
      <c r="A36" s="583">
        <v>35</v>
      </c>
      <c r="B36" s="25">
        <v>45380</v>
      </c>
      <c r="C36" s="161">
        <v>13</v>
      </c>
      <c r="D36" s="25" t="s">
        <v>577</v>
      </c>
      <c r="E36" s="25" t="s">
        <v>590</v>
      </c>
      <c r="F36" s="25" t="s">
        <v>585</v>
      </c>
      <c r="G36" s="161">
        <v>1</v>
      </c>
      <c r="H36" s="161">
        <v>1</v>
      </c>
      <c r="I36" s="161">
        <v>8</v>
      </c>
      <c r="J36" s="161">
        <v>15</v>
      </c>
      <c r="K36" s="161">
        <v>3</v>
      </c>
      <c r="L36" s="161">
        <v>1</v>
      </c>
      <c r="M36" s="161">
        <v>24</v>
      </c>
      <c r="N36" s="161">
        <v>5</v>
      </c>
      <c r="O36" s="105" t="b">
        <v>0</v>
      </c>
      <c r="P36" s="585" t="str">
        <f t="shared" si="7"/>
        <v/>
      </c>
      <c r="Q36" s="32" t="str">
        <f t="shared" si="14"/>
        <v>Wimbledon</v>
      </c>
      <c r="R36" s="32" t="str">
        <f t="shared" si="15"/>
        <v>Harrogate</v>
      </c>
      <c r="S36" s="31" t="str">
        <f t="shared" si="16"/>
        <v>1</v>
      </c>
      <c r="T36" s="32" t="str">
        <f t="shared" si="17"/>
        <v>1</v>
      </c>
      <c r="U36" s="27" t="str">
        <f t="shared" si="8"/>
        <v>Wimbledon  v  Harrogate   8/15  3/1  24/5</v>
      </c>
      <c r="V36" s="30" t="str">
        <f t="shared" si="9"/>
        <v xml:space="preserve">Wimbledon 1-1 Harrogate </v>
      </c>
      <c r="W36" t="str">
        <f t="shared" si="10"/>
        <v>8/15  3/1  24/5</v>
      </c>
      <c r="X36" s="17" t="str">
        <f t="shared" si="18"/>
        <v>8/15</v>
      </c>
      <c r="Y36" s="17" t="str">
        <f t="shared" si="19"/>
        <v>3/1</v>
      </c>
      <c r="Z36" s="17" t="str">
        <f t="shared" si="20"/>
        <v>24/5</v>
      </c>
      <c r="AA36" s="170">
        <f t="shared" si="11"/>
        <v>1.5333333333333332</v>
      </c>
      <c r="AB36" s="170">
        <f t="shared" si="12"/>
        <v>4</v>
      </c>
      <c r="AC36" s="170">
        <f t="shared" si="13"/>
        <v>5.8</v>
      </c>
      <c r="AD36" s="11"/>
      <c r="AH36" s="11"/>
    </row>
    <row r="37" spans="1:34">
      <c r="A37" s="583">
        <v>36</v>
      </c>
      <c r="B37" s="25">
        <v>45380</v>
      </c>
      <c r="C37" s="161">
        <v>13</v>
      </c>
      <c r="D37" s="21" t="s">
        <v>577</v>
      </c>
      <c r="E37" s="25" t="s">
        <v>528</v>
      </c>
      <c r="F37" s="25" t="s">
        <v>586</v>
      </c>
      <c r="G37" s="161">
        <v>2</v>
      </c>
      <c r="H37" s="161">
        <v>0</v>
      </c>
      <c r="I37" s="161">
        <v>13</v>
      </c>
      <c r="J37" s="161">
        <v>10</v>
      </c>
      <c r="K37" s="161">
        <v>13</v>
      </c>
      <c r="L37" s="161">
        <v>5</v>
      </c>
      <c r="M37" s="161">
        <v>7</v>
      </c>
      <c r="N37" s="161">
        <v>4</v>
      </c>
      <c r="O37" s="105" t="b">
        <v>0</v>
      </c>
      <c r="P37" s="585" t="str">
        <f t="shared" si="7"/>
        <v/>
      </c>
      <c r="Q37" s="32" t="str">
        <f t="shared" si="14"/>
        <v>Wrexham</v>
      </c>
      <c r="R37" s="32" t="str">
        <f t="shared" si="15"/>
        <v>Mansfield</v>
      </c>
      <c r="S37" s="31" t="str">
        <f t="shared" si="16"/>
        <v>2</v>
      </c>
      <c r="T37" s="32" t="str">
        <f t="shared" si="17"/>
        <v>0</v>
      </c>
      <c r="U37" s="27" t="str">
        <f t="shared" si="8"/>
        <v>Wrexham  v  Mansfield   13/10  13/5  7/4</v>
      </c>
      <c r="V37" s="30" t="str">
        <f t="shared" si="9"/>
        <v xml:space="preserve">Wrexham 2-0 Mansfield </v>
      </c>
      <c r="W37" t="str">
        <f t="shared" si="10"/>
        <v>13/10  13/5  7/4</v>
      </c>
      <c r="X37" s="17" t="str">
        <f t="shared" si="18"/>
        <v>13/10</v>
      </c>
      <c r="Y37" s="17" t="str">
        <f t="shared" si="19"/>
        <v>13/5</v>
      </c>
      <c r="Z37" s="17" t="str">
        <f t="shared" si="20"/>
        <v>7/4</v>
      </c>
      <c r="AA37" s="170">
        <f t="shared" si="11"/>
        <v>2.2999999999999998</v>
      </c>
      <c r="AB37" s="170">
        <f t="shared" si="12"/>
        <v>3.6</v>
      </c>
      <c r="AC37" s="170">
        <f t="shared" si="13"/>
        <v>2.75</v>
      </c>
      <c r="AD37" s="11"/>
      <c r="AH37" s="11"/>
    </row>
    <row r="38" spans="1:34">
      <c r="A38" s="583">
        <v>37</v>
      </c>
      <c r="B38" s="25">
        <v>45381</v>
      </c>
      <c r="C38" s="161">
        <v>10</v>
      </c>
      <c r="D38" s="25" t="s">
        <v>636</v>
      </c>
      <c r="E38" s="25" t="s">
        <v>637</v>
      </c>
      <c r="F38" s="25" t="s">
        <v>638</v>
      </c>
      <c r="G38" s="161">
        <v>2</v>
      </c>
      <c r="H38" s="161">
        <v>1</v>
      </c>
      <c r="I38" s="161">
        <v>11</v>
      </c>
      <c r="J38" s="161">
        <v>10</v>
      </c>
      <c r="K38" s="161">
        <v>27</v>
      </c>
      <c r="L38" s="161">
        <v>10</v>
      </c>
      <c r="M38" s="161">
        <v>11</v>
      </c>
      <c r="N38" s="161">
        <v>5</v>
      </c>
      <c r="O38" s="104" t="b">
        <v>0</v>
      </c>
      <c r="P38" s="585" t="str">
        <f t="shared" si="7"/>
        <v/>
      </c>
      <c r="Q38" s="32" t="str">
        <f t="shared" si="14"/>
        <v>Bournemouth</v>
      </c>
      <c r="R38" s="32" t="str">
        <f t="shared" si="15"/>
        <v>Everton</v>
      </c>
      <c r="S38" s="31" t="str">
        <f t="shared" si="16"/>
        <v>2</v>
      </c>
      <c r="T38" s="32" t="str">
        <f t="shared" si="17"/>
        <v>1</v>
      </c>
      <c r="U38" s="27" t="str">
        <f t="shared" si="8"/>
        <v>Bournemouth  v  Everton   11/10  27/10  11/5</v>
      </c>
      <c r="V38" s="30" t="str">
        <f t="shared" si="9"/>
        <v xml:space="preserve">Bournemouth 2-1 Everton </v>
      </c>
      <c r="W38" t="str">
        <f t="shared" si="10"/>
        <v>11/10  27/10  11/5</v>
      </c>
      <c r="X38" s="17" t="str">
        <f t="shared" si="18"/>
        <v>11/10</v>
      </c>
      <c r="Y38" s="17" t="str">
        <f t="shared" si="19"/>
        <v>27/10</v>
      </c>
      <c r="Z38" s="17" t="str">
        <f t="shared" si="20"/>
        <v>11/5</v>
      </c>
      <c r="AA38" s="170">
        <f t="shared" si="11"/>
        <v>2.1</v>
      </c>
      <c r="AB38" s="170">
        <f t="shared" si="12"/>
        <v>3.7</v>
      </c>
      <c r="AC38" s="170">
        <f t="shared" si="13"/>
        <v>3.2</v>
      </c>
      <c r="AD38" s="11"/>
      <c r="AH38" s="11"/>
    </row>
    <row r="39" spans="1:34">
      <c r="A39" s="583">
        <v>38</v>
      </c>
      <c r="B39" s="25">
        <v>45381</v>
      </c>
      <c r="C39" s="161">
        <v>10</v>
      </c>
      <c r="D39" s="25" t="s">
        <v>636</v>
      </c>
      <c r="E39" s="25" t="s">
        <v>639</v>
      </c>
      <c r="F39" s="25" t="s">
        <v>640</v>
      </c>
      <c r="G39" s="161">
        <v>1</v>
      </c>
      <c r="H39" s="161">
        <v>1</v>
      </c>
      <c r="I39" s="161">
        <v>19</v>
      </c>
      <c r="J39" s="161">
        <v>10</v>
      </c>
      <c r="K39" s="161">
        <v>14</v>
      </c>
      <c r="L39" s="161">
        <v>5</v>
      </c>
      <c r="M39" s="161">
        <v>6</v>
      </c>
      <c r="N39" s="161">
        <v>5</v>
      </c>
      <c r="O39" s="104" t="b">
        <v>0</v>
      </c>
      <c r="P39" s="585" t="str">
        <f t="shared" si="7"/>
        <v/>
      </c>
      <c r="Q39" s="32" t="str">
        <f t="shared" si="14"/>
        <v>Brentford</v>
      </c>
      <c r="R39" s="32" t="str">
        <f t="shared" si="15"/>
        <v>Man U</v>
      </c>
      <c r="S39" s="31" t="str">
        <f t="shared" si="16"/>
        <v>1</v>
      </c>
      <c r="T39" s="32" t="str">
        <f t="shared" si="17"/>
        <v>1</v>
      </c>
      <c r="U39" s="27" t="str">
        <f t="shared" si="8"/>
        <v>Brentford  v  Man U   19/10  14/5  6/5</v>
      </c>
      <c r="V39" s="30" t="str">
        <f t="shared" si="9"/>
        <v xml:space="preserve">Brentford 1-1 Man U </v>
      </c>
      <c r="W39" t="str">
        <f t="shared" si="10"/>
        <v>19/10  14/5  6/5</v>
      </c>
      <c r="X39" s="17" t="str">
        <f t="shared" si="18"/>
        <v>19/10</v>
      </c>
      <c r="Y39" s="17" t="str">
        <f t="shared" si="19"/>
        <v>14/5</v>
      </c>
      <c r="Z39" s="17" t="str">
        <f t="shared" si="20"/>
        <v>6/5</v>
      </c>
      <c r="AA39" s="170">
        <f t="shared" si="11"/>
        <v>2.9</v>
      </c>
      <c r="AB39" s="170">
        <f t="shared" si="12"/>
        <v>3.8</v>
      </c>
      <c r="AC39" s="170">
        <f t="shared" si="13"/>
        <v>2.2000000000000002</v>
      </c>
      <c r="AD39" s="11"/>
      <c r="AH39" s="11"/>
    </row>
    <row r="40" spans="1:34">
      <c r="A40" s="583">
        <v>39</v>
      </c>
      <c r="B40" s="25">
        <v>45381</v>
      </c>
      <c r="C40" s="161">
        <v>10</v>
      </c>
      <c r="D40" s="25" t="s">
        <v>636</v>
      </c>
      <c r="E40" s="25" t="s">
        <v>641</v>
      </c>
      <c r="F40" s="25" t="s">
        <v>642</v>
      </c>
      <c r="G40" s="161">
        <v>2</v>
      </c>
      <c r="H40" s="161">
        <v>2</v>
      </c>
      <c r="I40" s="161">
        <v>2</v>
      </c>
      <c r="J40" s="161">
        <v>7</v>
      </c>
      <c r="K40" s="161">
        <v>24</v>
      </c>
      <c r="L40" s="161">
        <v>5</v>
      </c>
      <c r="M40" s="161">
        <v>8</v>
      </c>
      <c r="N40" s="161">
        <v>1</v>
      </c>
      <c r="O40" s="105" t="b">
        <v>0</v>
      </c>
      <c r="P40" s="585" t="str">
        <f t="shared" si="7"/>
        <v/>
      </c>
      <c r="Q40" s="32" t="str">
        <f t="shared" si="14"/>
        <v>Chelsea</v>
      </c>
      <c r="R40" s="32" t="str">
        <f t="shared" si="15"/>
        <v>Burnley</v>
      </c>
      <c r="S40" s="31" t="str">
        <f t="shared" si="16"/>
        <v>2</v>
      </c>
      <c r="T40" s="32" t="str">
        <f t="shared" si="17"/>
        <v>2</v>
      </c>
      <c r="U40" s="27" t="str">
        <f t="shared" si="8"/>
        <v>Chelsea  v  Burnley   2/7  24/5  8/1</v>
      </c>
      <c r="V40" s="30" t="str">
        <f t="shared" si="9"/>
        <v xml:space="preserve">Chelsea 2-2 Burnley </v>
      </c>
      <c r="W40" t="str">
        <f t="shared" si="10"/>
        <v>2/7  24/5  8/1</v>
      </c>
      <c r="X40" s="17" t="str">
        <f t="shared" si="18"/>
        <v>2/7</v>
      </c>
      <c r="Y40" s="17" t="str">
        <f t="shared" si="19"/>
        <v>24/5</v>
      </c>
      <c r="Z40" s="17" t="str">
        <f t="shared" si="20"/>
        <v>8/1</v>
      </c>
      <c r="AA40" s="170">
        <f t="shared" si="11"/>
        <v>1.2857142857142856</v>
      </c>
      <c r="AB40" s="170">
        <f t="shared" si="12"/>
        <v>5.8</v>
      </c>
      <c r="AC40" s="170">
        <f t="shared" si="13"/>
        <v>9</v>
      </c>
      <c r="AD40" s="11"/>
      <c r="AH40" s="11"/>
    </row>
    <row r="41" spans="1:34">
      <c r="A41" s="583">
        <v>40</v>
      </c>
      <c r="B41" s="25">
        <v>45381</v>
      </c>
      <c r="C41" s="161">
        <v>10</v>
      </c>
      <c r="D41" s="25" t="s">
        <v>636</v>
      </c>
      <c r="E41" s="25" t="s">
        <v>643</v>
      </c>
      <c r="F41" s="25" t="s">
        <v>570</v>
      </c>
      <c r="G41" s="161">
        <v>1</v>
      </c>
      <c r="H41" s="161">
        <v>1</v>
      </c>
      <c r="I41" s="161">
        <v>6</v>
      </c>
      <c r="J41" s="161">
        <v>5</v>
      </c>
      <c r="K41" s="161">
        <v>12</v>
      </c>
      <c r="L41" s="161">
        <v>5</v>
      </c>
      <c r="M41" s="161">
        <v>11</v>
      </c>
      <c r="N41" s="161">
        <v>5</v>
      </c>
      <c r="O41" s="105" t="b">
        <v>0</v>
      </c>
      <c r="P41" s="585" t="str">
        <f t="shared" si="7"/>
        <v/>
      </c>
      <c r="Q41" s="32" t="str">
        <f t="shared" si="14"/>
        <v>Forest</v>
      </c>
      <c r="R41" s="32" t="str">
        <f t="shared" si="15"/>
        <v>Palace</v>
      </c>
      <c r="S41" s="31" t="str">
        <f t="shared" si="16"/>
        <v>1</v>
      </c>
      <c r="T41" s="32" t="str">
        <f t="shared" si="17"/>
        <v>1</v>
      </c>
      <c r="U41" s="27" t="str">
        <f t="shared" si="8"/>
        <v>Forest  v  Palace   6/5  12/5  11/5</v>
      </c>
      <c r="V41" s="30" t="str">
        <f t="shared" si="9"/>
        <v xml:space="preserve">Forest 1-1 Palace </v>
      </c>
      <c r="W41" t="str">
        <f t="shared" si="10"/>
        <v>6/5  12/5  11/5</v>
      </c>
      <c r="X41" s="17" t="str">
        <f t="shared" si="18"/>
        <v>6/5</v>
      </c>
      <c r="Y41" s="17" t="str">
        <f t="shared" si="19"/>
        <v>12/5</v>
      </c>
      <c r="Z41" s="17" t="str">
        <f t="shared" si="20"/>
        <v>11/5</v>
      </c>
      <c r="AA41" s="170">
        <f t="shared" si="11"/>
        <v>2.2000000000000002</v>
      </c>
      <c r="AB41" s="170">
        <f t="shared" si="12"/>
        <v>3.4</v>
      </c>
      <c r="AC41" s="170">
        <f t="shared" si="13"/>
        <v>3.2</v>
      </c>
      <c r="AD41" s="11"/>
      <c r="AH41" s="11"/>
    </row>
    <row r="42" spans="1:34">
      <c r="A42" s="583">
        <v>41</v>
      </c>
      <c r="B42" s="25">
        <v>45381</v>
      </c>
      <c r="C42" s="161">
        <v>10</v>
      </c>
      <c r="D42" s="25" t="s">
        <v>636</v>
      </c>
      <c r="E42" s="25" t="s">
        <v>644</v>
      </c>
      <c r="F42" s="25" t="s">
        <v>428</v>
      </c>
      <c r="G42" s="161">
        <v>4</v>
      </c>
      <c r="H42" s="161">
        <v>3</v>
      </c>
      <c r="I42" s="161">
        <v>17</v>
      </c>
      <c r="J42" s="161">
        <v>20</v>
      </c>
      <c r="K42" s="161">
        <v>3</v>
      </c>
      <c r="L42" s="161">
        <v>1</v>
      </c>
      <c r="M42" s="161">
        <v>27</v>
      </c>
      <c r="N42" s="161">
        <v>10</v>
      </c>
      <c r="O42" s="105" t="b">
        <v>0</v>
      </c>
      <c r="P42" s="585" t="str">
        <f t="shared" si="7"/>
        <v/>
      </c>
      <c r="Q42" s="32" t="str">
        <f t="shared" si="14"/>
        <v>Newcastle</v>
      </c>
      <c r="R42" s="32" t="str">
        <f t="shared" si="15"/>
        <v>West Ham</v>
      </c>
      <c r="S42" s="31" t="str">
        <f t="shared" si="16"/>
        <v>4</v>
      </c>
      <c r="T42" s="32" t="str">
        <f t="shared" si="17"/>
        <v>3</v>
      </c>
      <c r="U42" s="27" t="str">
        <f t="shared" si="8"/>
        <v>Newcastle  v  West Ham   17/20  3/1  27/10</v>
      </c>
      <c r="V42" s="30" t="str">
        <f t="shared" si="9"/>
        <v xml:space="preserve">Newcastle 4-3 West Ham </v>
      </c>
      <c r="W42" t="str">
        <f t="shared" si="10"/>
        <v>17/20  3/1  27/10</v>
      </c>
      <c r="X42" s="17" t="str">
        <f t="shared" si="18"/>
        <v>17/20</v>
      </c>
      <c r="Y42" s="17" t="str">
        <f t="shared" si="19"/>
        <v>3/1</v>
      </c>
      <c r="Z42" s="17" t="str">
        <f t="shared" si="20"/>
        <v>27/10</v>
      </c>
      <c r="AA42" s="170">
        <f t="shared" si="11"/>
        <v>1.85</v>
      </c>
      <c r="AB42" s="170">
        <f t="shared" si="12"/>
        <v>4</v>
      </c>
      <c r="AC42" s="170">
        <f t="shared" si="13"/>
        <v>3.7</v>
      </c>
      <c r="AD42" s="11"/>
      <c r="AH42" s="11"/>
    </row>
    <row r="43" spans="1:34">
      <c r="A43" s="583">
        <v>42</v>
      </c>
      <c r="B43" s="25">
        <v>45381</v>
      </c>
      <c r="C43" s="161">
        <v>10</v>
      </c>
      <c r="D43" s="25" t="s">
        <v>636</v>
      </c>
      <c r="E43" s="25" t="s">
        <v>425</v>
      </c>
      <c r="F43" s="21" t="s">
        <v>645</v>
      </c>
      <c r="G43" s="161">
        <v>3</v>
      </c>
      <c r="H43" s="161">
        <v>3</v>
      </c>
      <c r="I43" s="161">
        <v>7</v>
      </c>
      <c r="J43" s="161">
        <v>2</v>
      </c>
      <c r="K43" s="161">
        <v>3</v>
      </c>
      <c r="L43" s="161">
        <v>1</v>
      </c>
      <c r="M43" s="161">
        <v>7</v>
      </c>
      <c r="N43" s="161">
        <v>10</v>
      </c>
      <c r="O43" s="105" t="b">
        <v>0</v>
      </c>
      <c r="P43" s="585" t="str">
        <f t="shared" si="7"/>
        <v/>
      </c>
      <c r="Q43" s="32" t="str">
        <f t="shared" si="14"/>
        <v>Sheff U</v>
      </c>
      <c r="R43" s="32" t="str">
        <f t="shared" si="15"/>
        <v>Fulham</v>
      </c>
      <c r="S43" s="31" t="str">
        <f t="shared" si="16"/>
        <v>3</v>
      </c>
      <c r="T43" s="32" t="str">
        <f t="shared" si="17"/>
        <v>3</v>
      </c>
      <c r="U43" s="27" t="str">
        <f t="shared" si="8"/>
        <v>Sheff U  v  Fulham   7/2  3/1  7/10</v>
      </c>
      <c r="V43" s="30" t="str">
        <f t="shared" si="9"/>
        <v xml:space="preserve">Sheff U 3-3 Fulham </v>
      </c>
      <c r="W43" t="str">
        <f t="shared" si="10"/>
        <v>7/2  3/1  7/10</v>
      </c>
      <c r="X43" s="17" t="str">
        <f t="shared" si="18"/>
        <v>7/2</v>
      </c>
      <c r="Y43" s="17" t="str">
        <f t="shared" si="19"/>
        <v>3/1</v>
      </c>
      <c r="Z43" s="17" t="str">
        <f t="shared" si="20"/>
        <v>7/10</v>
      </c>
      <c r="AA43" s="170">
        <f t="shared" si="11"/>
        <v>4.5</v>
      </c>
      <c r="AB43" s="170">
        <f t="shared" si="12"/>
        <v>4</v>
      </c>
      <c r="AC43" s="170">
        <f t="shared" si="13"/>
        <v>1.7</v>
      </c>
      <c r="AD43" s="11"/>
      <c r="AH43" s="11"/>
    </row>
    <row r="44" spans="1:34">
      <c r="A44" s="583">
        <v>43</v>
      </c>
      <c r="B44" s="25">
        <v>45381</v>
      </c>
      <c r="C44" s="161">
        <v>10</v>
      </c>
      <c r="D44" s="25" t="s">
        <v>636</v>
      </c>
      <c r="E44" s="21" t="s">
        <v>429</v>
      </c>
      <c r="F44" s="21" t="s">
        <v>646</v>
      </c>
      <c r="G44" s="161">
        <v>2</v>
      </c>
      <c r="H44" s="161">
        <v>1</v>
      </c>
      <c r="I44" s="161">
        <v>2</v>
      </c>
      <c r="J44" s="161">
        <v>9</v>
      </c>
      <c r="K44" s="161">
        <v>6</v>
      </c>
      <c r="L44" s="161">
        <v>1</v>
      </c>
      <c r="M44" s="161">
        <v>9</v>
      </c>
      <c r="N44" s="161">
        <v>1</v>
      </c>
      <c r="O44" s="105" t="b">
        <v>0</v>
      </c>
      <c r="P44" s="585" t="str">
        <f t="shared" si="7"/>
        <v/>
      </c>
      <c r="Q44" s="32" t="str">
        <f t="shared" si="14"/>
        <v>Spurs</v>
      </c>
      <c r="R44" s="32" t="str">
        <f t="shared" si="15"/>
        <v>Luton</v>
      </c>
      <c r="S44" s="31" t="str">
        <f t="shared" si="16"/>
        <v>2</v>
      </c>
      <c r="T44" s="32" t="str">
        <f t="shared" si="17"/>
        <v>1</v>
      </c>
      <c r="U44" s="27" t="str">
        <f t="shared" si="8"/>
        <v>Spurs  v  Luton   2/9  6/1  9/1</v>
      </c>
      <c r="V44" s="30" t="str">
        <f t="shared" si="9"/>
        <v xml:space="preserve">Spurs 2-1 Luton </v>
      </c>
      <c r="W44" t="str">
        <f t="shared" si="10"/>
        <v>2/9  6/1  9/1</v>
      </c>
      <c r="X44" s="17" t="str">
        <f t="shared" si="18"/>
        <v>2/9</v>
      </c>
      <c r="Y44" s="17" t="str">
        <f t="shared" si="19"/>
        <v>6/1</v>
      </c>
      <c r="Z44" s="17" t="str">
        <f t="shared" si="20"/>
        <v>9/1</v>
      </c>
      <c r="AA44" s="170">
        <f t="shared" si="11"/>
        <v>1.2222222222222223</v>
      </c>
      <c r="AB44" s="170">
        <f t="shared" si="12"/>
        <v>7</v>
      </c>
      <c r="AC44" s="170">
        <f t="shared" si="13"/>
        <v>10</v>
      </c>
      <c r="AD44" s="11"/>
      <c r="AH44" s="11"/>
    </row>
    <row r="45" spans="1:34">
      <c r="A45" s="583">
        <v>44</v>
      </c>
      <c r="B45" s="25">
        <v>45381</v>
      </c>
      <c r="C45" s="161">
        <v>10</v>
      </c>
      <c r="D45" s="25" t="s">
        <v>636</v>
      </c>
      <c r="E45" s="21" t="s">
        <v>426</v>
      </c>
      <c r="F45" s="21" t="s">
        <v>647</v>
      </c>
      <c r="G45" s="161">
        <v>2</v>
      </c>
      <c r="H45" s="161">
        <v>0</v>
      </c>
      <c r="I45" s="161">
        <v>13</v>
      </c>
      <c r="J45" s="161">
        <v>20</v>
      </c>
      <c r="K45" s="161">
        <v>10</v>
      </c>
      <c r="L45" s="161">
        <v>3</v>
      </c>
      <c r="M45" s="161">
        <v>7</v>
      </c>
      <c r="N45" s="161">
        <v>2</v>
      </c>
      <c r="O45" s="105" t="b">
        <v>0</v>
      </c>
      <c r="P45" s="585" t="str">
        <f t="shared" si="7"/>
        <v/>
      </c>
      <c r="Q45" s="32" t="str">
        <f t="shared" si="14"/>
        <v>Villa</v>
      </c>
      <c r="R45" s="32" t="str">
        <f t="shared" si="15"/>
        <v>Wolves</v>
      </c>
      <c r="S45" s="31" t="str">
        <f t="shared" si="16"/>
        <v>2</v>
      </c>
      <c r="T45" s="32" t="str">
        <f t="shared" si="17"/>
        <v>0</v>
      </c>
      <c r="U45" s="27" t="str">
        <f t="shared" si="8"/>
        <v>Villa  v  Wolves   13/20  10/3  7/2</v>
      </c>
      <c r="V45" s="30" t="str">
        <f t="shared" si="9"/>
        <v xml:space="preserve">Villa 2-0 Wolves </v>
      </c>
      <c r="W45" t="str">
        <f>X45&amp;"  "&amp;Y45&amp;"  "&amp;Z45</f>
        <v>13/20  10/3  7/2</v>
      </c>
      <c r="X45" s="17" t="str">
        <f t="shared" si="18"/>
        <v>13/20</v>
      </c>
      <c r="Y45" s="17" t="str">
        <f t="shared" si="19"/>
        <v>10/3</v>
      </c>
      <c r="Z45" s="17" t="str">
        <f t="shared" si="20"/>
        <v>7/2</v>
      </c>
      <c r="AA45" s="170">
        <f t="shared" si="11"/>
        <v>1.65</v>
      </c>
      <c r="AB45" s="170">
        <f t="shared" si="12"/>
        <v>4.3333333333333339</v>
      </c>
      <c r="AC45" s="170">
        <f t="shared" si="13"/>
        <v>4.5</v>
      </c>
      <c r="AD45" s="11"/>
      <c r="AH45" s="11"/>
    </row>
    <row r="46" spans="1:34">
      <c r="A46" s="583">
        <v>45</v>
      </c>
      <c r="B46" s="25">
        <v>45382</v>
      </c>
      <c r="C46" s="161">
        <v>10</v>
      </c>
      <c r="D46" s="25" t="s">
        <v>636</v>
      </c>
      <c r="E46" s="25" t="s">
        <v>648</v>
      </c>
      <c r="F46" s="25" t="s">
        <v>649</v>
      </c>
      <c r="G46" s="161">
        <v>2</v>
      </c>
      <c r="H46" s="161">
        <v>0</v>
      </c>
      <c r="I46" s="161">
        <v>7</v>
      </c>
      <c r="J46" s="161">
        <v>20</v>
      </c>
      <c r="K46" s="161">
        <v>9</v>
      </c>
      <c r="L46" s="161">
        <v>2</v>
      </c>
      <c r="M46" s="161">
        <v>13</v>
      </c>
      <c r="N46" s="161">
        <v>2</v>
      </c>
      <c r="O46" s="105" t="b">
        <v>0</v>
      </c>
      <c r="P46" s="585" t="str">
        <f t="shared" si="7"/>
        <v/>
      </c>
      <c r="Q46" s="32" t="str">
        <f t="shared" si="14"/>
        <v>Liverpool</v>
      </c>
      <c r="R46" s="32" t="str">
        <f t="shared" si="15"/>
        <v>Brighton</v>
      </c>
      <c r="S46" s="31" t="str">
        <f t="shared" si="16"/>
        <v>2</v>
      </c>
      <c r="T46" s="32" t="str">
        <f t="shared" si="17"/>
        <v>0</v>
      </c>
      <c r="U46" s="27" t="str">
        <f t="shared" si="8"/>
        <v>Liverpool  v  Brighton   7/20  9/2  13/2</v>
      </c>
      <c r="V46" s="30" t="str">
        <f t="shared" si="9"/>
        <v xml:space="preserve">Liverpool 2-0 Brighton </v>
      </c>
      <c r="W46" t="str">
        <f>X46&amp;"  "&amp;Y46&amp;"  "&amp;Z46</f>
        <v>7/20  9/2  13/2</v>
      </c>
      <c r="X46" s="17" t="str">
        <f t="shared" si="18"/>
        <v>7/20</v>
      </c>
      <c r="Y46" s="17" t="str">
        <f t="shared" si="19"/>
        <v>9/2</v>
      </c>
      <c r="Z46" s="17" t="str">
        <f t="shared" si="20"/>
        <v>13/2</v>
      </c>
      <c r="AA46" s="170">
        <f t="shared" si="11"/>
        <v>1.35</v>
      </c>
      <c r="AB46" s="170">
        <f t="shared" si="12"/>
        <v>5.5</v>
      </c>
      <c r="AC46" s="170">
        <f t="shared" si="13"/>
        <v>7.5</v>
      </c>
    </row>
    <row r="47" spans="1:34">
      <c r="A47" s="583">
        <v>46</v>
      </c>
      <c r="B47" s="25">
        <v>45382</v>
      </c>
      <c r="C47" s="161">
        <v>10</v>
      </c>
      <c r="D47" s="25" t="s">
        <v>636</v>
      </c>
      <c r="E47" s="25" t="s">
        <v>650</v>
      </c>
      <c r="F47" s="25" t="s">
        <v>651</v>
      </c>
      <c r="G47" s="161">
        <v>0</v>
      </c>
      <c r="H47" s="161">
        <v>0</v>
      </c>
      <c r="I47" s="161">
        <v>5</v>
      </c>
      <c r="J47" s="161">
        <v>6</v>
      </c>
      <c r="K47" s="161">
        <v>3</v>
      </c>
      <c r="L47" s="161">
        <v>1</v>
      </c>
      <c r="M47" s="161">
        <v>14</v>
      </c>
      <c r="N47" s="161">
        <v>5</v>
      </c>
      <c r="O47" s="105" t="b">
        <v>0</v>
      </c>
      <c r="P47" s="585" t="str">
        <f t="shared" si="7"/>
        <v/>
      </c>
      <c r="Q47" s="32" t="str">
        <f t="shared" si="14"/>
        <v>Man C</v>
      </c>
      <c r="R47" s="32" t="str">
        <f t="shared" si="15"/>
        <v>Arsenal</v>
      </c>
      <c r="S47" s="31" t="str">
        <f t="shared" si="16"/>
        <v>0</v>
      </c>
      <c r="T47" s="32" t="str">
        <f t="shared" si="17"/>
        <v>0</v>
      </c>
      <c r="U47" s="27" t="str">
        <f t="shared" si="8"/>
        <v>Man C  v  Arsenal   5/6  3/1  14/5</v>
      </c>
      <c r="V47" s="30" t="str">
        <f t="shared" si="9"/>
        <v xml:space="preserve">Man C 0-0 Arsenal </v>
      </c>
      <c r="W47" t="str">
        <f>X47&amp;"  "&amp;Y47&amp;"  "&amp;Z47</f>
        <v>5/6  3/1  14/5</v>
      </c>
      <c r="X47" s="17" t="str">
        <f t="shared" si="18"/>
        <v>5/6</v>
      </c>
      <c r="Y47" s="17" t="str">
        <f t="shared" si="19"/>
        <v>3/1</v>
      </c>
      <c r="Z47" s="17" t="str">
        <f t="shared" si="20"/>
        <v>14/5</v>
      </c>
      <c r="AA47" s="170">
        <f t="shared" si="11"/>
        <v>1.8333333333333335</v>
      </c>
      <c r="AB47" s="170">
        <f t="shared" si="12"/>
        <v>4</v>
      </c>
      <c r="AC47" s="170">
        <f t="shared" si="13"/>
        <v>3.8</v>
      </c>
    </row>
    <row r="48" spans="1:34">
      <c r="A48" s="583">
        <v>1</v>
      </c>
      <c r="Q48" s="32" t="str">
        <f t="shared" ref="Q48:Q60" si="21">TRIM(E48)</f>
        <v/>
      </c>
      <c r="R48" s="32" t="str">
        <f t="shared" ref="R48:R60" si="22">TRIM(F48)</f>
        <v/>
      </c>
      <c r="S48" s="31" t="str">
        <f t="shared" ref="S48:S60" si="23">TRIM(G48)</f>
        <v/>
      </c>
      <c r="T48" s="32" t="str">
        <f t="shared" ref="T48:T60" si="24">TRIM(H48)</f>
        <v/>
      </c>
      <c r="U48" s="27" t="str">
        <f t="shared" ref="U48:U60" si="25">IF(B48="","",IF(O48=TRUE,Q48&amp;"  v  "&amp;R48&amp;"  OFF",Q48&amp;"  v  "&amp;R48&amp;"   "&amp;W48))</f>
        <v/>
      </c>
      <c r="V48" s="30" t="str">
        <f t="shared" ref="V48:V60" si="26">Q48&amp;" "&amp;S48&amp;"-"&amp;T48&amp;" "&amp;R48&amp;" "&amp;P48</f>
        <v xml:space="preserve"> -  </v>
      </c>
      <c r="W48" t="str">
        <f t="shared" ref="W48:W60" si="27">X48&amp;"  "&amp;Y48&amp;"  "&amp;Z48</f>
        <v>/  /  /</v>
      </c>
      <c r="X48" s="17" t="str">
        <f t="shared" ref="X48:X60" si="28">CONCATENATE(I48,"/",J48)</f>
        <v>/</v>
      </c>
      <c r="Y48" s="17" t="str">
        <f t="shared" ref="Y48:Y60" si="29">CONCATENATE(K48,"/",L48)</f>
        <v>/</v>
      </c>
      <c r="Z48" s="17" t="str">
        <f t="shared" ref="Z48:Z60" si="30">CONCATENATE(M48,"/",N48)</f>
        <v>/</v>
      </c>
      <c r="AA48" s="170" t="str">
        <f t="shared" ref="AA48:AA60" si="31">IF(B48="","",1+(I48/J48))</f>
        <v/>
      </c>
      <c r="AB48" s="170" t="str">
        <f t="shared" ref="AB48:AB60" si="32">IF(D48="","",1+(K48/L48))</f>
        <v/>
      </c>
      <c r="AC48" s="170" t="str">
        <f t="shared" ref="AC48:AC60" si="33">IF(E48="","",1+(M48/N48))</f>
        <v/>
      </c>
    </row>
    <row r="49" spans="1:29">
      <c r="A49" s="583">
        <v>2</v>
      </c>
      <c r="Q49" s="32" t="str">
        <f t="shared" si="21"/>
        <v/>
      </c>
      <c r="R49" s="32" t="str">
        <f t="shared" si="22"/>
        <v/>
      </c>
      <c r="S49" s="31" t="str">
        <f t="shared" si="23"/>
        <v/>
      </c>
      <c r="T49" s="32" t="str">
        <f t="shared" si="24"/>
        <v/>
      </c>
      <c r="U49" s="27" t="str">
        <f t="shared" si="25"/>
        <v/>
      </c>
      <c r="V49" s="30" t="str">
        <f t="shared" si="26"/>
        <v xml:space="preserve"> -  </v>
      </c>
      <c r="W49" t="str">
        <f t="shared" si="27"/>
        <v>/  /  /</v>
      </c>
      <c r="X49" s="17" t="str">
        <f t="shared" si="28"/>
        <v>/</v>
      </c>
      <c r="Y49" s="17" t="str">
        <f t="shared" si="29"/>
        <v>/</v>
      </c>
      <c r="Z49" s="17" t="str">
        <f t="shared" si="30"/>
        <v>/</v>
      </c>
      <c r="AA49" s="170" t="str">
        <f t="shared" si="31"/>
        <v/>
      </c>
      <c r="AB49" s="170" t="str">
        <f t="shared" si="32"/>
        <v/>
      </c>
      <c r="AC49" s="170" t="str">
        <f t="shared" si="33"/>
        <v/>
      </c>
    </row>
    <row r="50" spans="1:29">
      <c r="A50" s="583">
        <v>3</v>
      </c>
      <c r="Q50" s="32" t="str">
        <f t="shared" si="21"/>
        <v/>
      </c>
      <c r="R50" s="32" t="str">
        <f t="shared" si="22"/>
        <v/>
      </c>
      <c r="S50" s="31" t="str">
        <f t="shared" si="23"/>
        <v/>
      </c>
      <c r="T50" s="32" t="str">
        <f t="shared" si="24"/>
        <v/>
      </c>
      <c r="U50" s="27" t="str">
        <f t="shared" si="25"/>
        <v/>
      </c>
      <c r="V50" s="30" t="str">
        <f t="shared" si="26"/>
        <v xml:space="preserve"> -  </v>
      </c>
      <c r="W50" t="str">
        <f t="shared" si="27"/>
        <v>/  /  /</v>
      </c>
      <c r="X50" s="17" t="str">
        <f t="shared" si="28"/>
        <v>/</v>
      </c>
      <c r="Y50" s="17" t="str">
        <f t="shared" si="29"/>
        <v>/</v>
      </c>
      <c r="Z50" s="17" t="str">
        <f t="shared" si="30"/>
        <v>/</v>
      </c>
      <c r="AA50" s="170" t="str">
        <f t="shared" si="31"/>
        <v/>
      </c>
      <c r="AB50" s="170" t="str">
        <f t="shared" si="32"/>
        <v/>
      </c>
      <c r="AC50" s="170" t="str">
        <f t="shared" si="33"/>
        <v/>
      </c>
    </row>
    <row r="51" spans="1:29">
      <c r="A51" s="583">
        <v>4</v>
      </c>
      <c r="Q51" s="32" t="str">
        <f t="shared" si="21"/>
        <v/>
      </c>
      <c r="R51" s="32" t="str">
        <f t="shared" si="22"/>
        <v/>
      </c>
      <c r="S51" s="31" t="str">
        <f t="shared" si="23"/>
        <v/>
      </c>
      <c r="T51" s="32" t="str">
        <f t="shared" si="24"/>
        <v/>
      </c>
      <c r="U51" s="27" t="str">
        <f t="shared" si="25"/>
        <v/>
      </c>
      <c r="V51" s="30" t="str">
        <f t="shared" si="26"/>
        <v xml:space="preserve"> -  </v>
      </c>
      <c r="W51" t="str">
        <f t="shared" si="27"/>
        <v>/  /  /</v>
      </c>
      <c r="X51" s="17" t="str">
        <f t="shared" si="28"/>
        <v>/</v>
      </c>
      <c r="Y51" s="17" t="str">
        <f t="shared" si="29"/>
        <v>/</v>
      </c>
      <c r="Z51" s="17" t="str">
        <f t="shared" si="30"/>
        <v>/</v>
      </c>
      <c r="AA51" s="170" t="str">
        <f t="shared" si="31"/>
        <v/>
      </c>
      <c r="AB51" s="170" t="str">
        <f t="shared" si="32"/>
        <v/>
      </c>
      <c r="AC51" s="170" t="str">
        <f t="shared" si="33"/>
        <v/>
      </c>
    </row>
    <row r="52" spans="1:29">
      <c r="A52" s="583">
        <v>5</v>
      </c>
      <c r="Q52" s="32" t="str">
        <f t="shared" si="21"/>
        <v/>
      </c>
      <c r="R52" s="32" t="str">
        <f t="shared" si="22"/>
        <v/>
      </c>
      <c r="S52" s="31" t="str">
        <f t="shared" si="23"/>
        <v/>
      </c>
      <c r="T52" s="32" t="str">
        <f t="shared" si="24"/>
        <v/>
      </c>
      <c r="U52" s="27" t="str">
        <f t="shared" si="25"/>
        <v/>
      </c>
      <c r="V52" s="30" t="str">
        <f t="shared" si="26"/>
        <v xml:space="preserve"> -  </v>
      </c>
      <c r="W52" t="str">
        <f t="shared" si="27"/>
        <v>/  /  /</v>
      </c>
      <c r="X52" s="17" t="str">
        <f t="shared" si="28"/>
        <v>/</v>
      </c>
      <c r="Y52" s="17" t="str">
        <f t="shared" si="29"/>
        <v>/</v>
      </c>
      <c r="Z52" s="17" t="str">
        <f t="shared" si="30"/>
        <v>/</v>
      </c>
      <c r="AA52" s="170" t="str">
        <f t="shared" si="31"/>
        <v/>
      </c>
      <c r="AB52" s="170" t="str">
        <f t="shared" si="32"/>
        <v/>
      </c>
      <c r="AC52" s="170" t="str">
        <f t="shared" si="33"/>
        <v/>
      </c>
    </row>
    <row r="53" spans="1:29">
      <c r="A53" s="583">
        <v>6</v>
      </c>
      <c r="Q53" s="32" t="str">
        <f t="shared" si="21"/>
        <v/>
      </c>
      <c r="R53" s="32" t="str">
        <f t="shared" si="22"/>
        <v/>
      </c>
      <c r="S53" s="31" t="str">
        <f t="shared" si="23"/>
        <v/>
      </c>
      <c r="T53" s="32" t="str">
        <f t="shared" si="24"/>
        <v/>
      </c>
      <c r="U53" s="27" t="str">
        <f t="shared" si="25"/>
        <v/>
      </c>
      <c r="V53" s="30" t="str">
        <f t="shared" si="26"/>
        <v xml:space="preserve"> -  </v>
      </c>
      <c r="W53" t="str">
        <f t="shared" si="27"/>
        <v>/  /  /</v>
      </c>
      <c r="X53" s="17" t="str">
        <f t="shared" si="28"/>
        <v>/</v>
      </c>
      <c r="Y53" s="17" t="str">
        <f t="shared" si="29"/>
        <v>/</v>
      </c>
      <c r="Z53" s="17" t="str">
        <f t="shared" si="30"/>
        <v>/</v>
      </c>
      <c r="AA53" s="170" t="str">
        <f t="shared" si="31"/>
        <v/>
      </c>
      <c r="AB53" s="170" t="str">
        <f t="shared" si="32"/>
        <v/>
      </c>
      <c r="AC53" s="170" t="str">
        <f t="shared" si="33"/>
        <v/>
      </c>
    </row>
    <row r="54" spans="1:29">
      <c r="A54" s="583">
        <v>7</v>
      </c>
      <c r="Q54" s="32" t="str">
        <f t="shared" si="21"/>
        <v/>
      </c>
      <c r="R54" s="32" t="str">
        <f t="shared" si="22"/>
        <v/>
      </c>
      <c r="S54" s="31" t="str">
        <f t="shared" si="23"/>
        <v/>
      </c>
      <c r="T54" s="32" t="str">
        <f t="shared" si="24"/>
        <v/>
      </c>
      <c r="U54" s="27" t="str">
        <f t="shared" si="25"/>
        <v/>
      </c>
      <c r="V54" s="30" t="str">
        <f t="shared" si="26"/>
        <v xml:space="preserve"> -  </v>
      </c>
      <c r="W54" t="str">
        <f t="shared" si="27"/>
        <v>/  /  /</v>
      </c>
      <c r="X54" s="17" t="str">
        <f t="shared" si="28"/>
        <v>/</v>
      </c>
      <c r="Y54" s="17" t="str">
        <f t="shared" si="29"/>
        <v>/</v>
      </c>
      <c r="Z54" s="17" t="str">
        <f t="shared" si="30"/>
        <v>/</v>
      </c>
      <c r="AA54" s="170" t="str">
        <f t="shared" si="31"/>
        <v/>
      </c>
      <c r="AB54" s="170" t="str">
        <f t="shared" si="32"/>
        <v/>
      </c>
      <c r="AC54" s="170" t="str">
        <f t="shared" si="33"/>
        <v/>
      </c>
    </row>
    <row r="55" spans="1:29">
      <c r="A55" s="583">
        <v>8</v>
      </c>
      <c r="Q55" s="32" t="str">
        <f t="shared" si="21"/>
        <v/>
      </c>
      <c r="R55" s="32" t="str">
        <f t="shared" si="22"/>
        <v/>
      </c>
      <c r="S55" s="31" t="str">
        <f t="shared" si="23"/>
        <v/>
      </c>
      <c r="T55" s="32" t="str">
        <f t="shared" si="24"/>
        <v/>
      </c>
      <c r="U55" s="27" t="str">
        <f t="shared" si="25"/>
        <v/>
      </c>
      <c r="V55" s="30" t="str">
        <f t="shared" si="26"/>
        <v xml:space="preserve"> -  </v>
      </c>
      <c r="W55" t="str">
        <f t="shared" si="27"/>
        <v>/  /  /</v>
      </c>
      <c r="X55" s="17" t="str">
        <f t="shared" si="28"/>
        <v>/</v>
      </c>
      <c r="Y55" s="17" t="str">
        <f t="shared" si="29"/>
        <v>/</v>
      </c>
      <c r="Z55" s="17" t="str">
        <f t="shared" si="30"/>
        <v>/</v>
      </c>
      <c r="AA55" s="170" t="str">
        <f t="shared" si="31"/>
        <v/>
      </c>
      <c r="AB55" s="170" t="str">
        <f t="shared" si="32"/>
        <v/>
      </c>
      <c r="AC55" s="170" t="str">
        <f t="shared" si="33"/>
        <v/>
      </c>
    </row>
    <row r="56" spans="1:29">
      <c r="A56" s="583">
        <v>9</v>
      </c>
      <c r="Q56" s="32" t="str">
        <f t="shared" si="21"/>
        <v/>
      </c>
      <c r="R56" s="32" t="str">
        <f t="shared" si="22"/>
        <v/>
      </c>
      <c r="S56" s="31" t="str">
        <f t="shared" si="23"/>
        <v/>
      </c>
      <c r="T56" s="32" t="str">
        <f t="shared" si="24"/>
        <v/>
      </c>
      <c r="U56" s="27" t="str">
        <f t="shared" si="25"/>
        <v/>
      </c>
      <c r="V56" s="30" t="str">
        <f t="shared" si="26"/>
        <v xml:space="preserve"> -  </v>
      </c>
      <c r="W56" t="str">
        <f t="shared" si="27"/>
        <v>/  /  /</v>
      </c>
      <c r="X56" s="17" t="str">
        <f t="shared" si="28"/>
        <v>/</v>
      </c>
      <c r="Y56" s="17" t="str">
        <f t="shared" si="29"/>
        <v>/</v>
      </c>
      <c r="Z56" s="17" t="str">
        <f t="shared" si="30"/>
        <v>/</v>
      </c>
      <c r="AA56" s="170" t="str">
        <f t="shared" si="31"/>
        <v/>
      </c>
      <c r="AB56" s="170" t="str">
        <f t="shared" si="32"/>
        <v/>
      </c>
      <c r="AC56" s="170" t="str">
        <f t="shared" si="33"/>
        <v/>
      </c>
    </row>
    <row r="57" spans="1:29">
      <c r="A57" s="583">
        <v>10</v>
      </c>
      <c r="Q57" s="32" t="str">
        <f t="shared" si="21"/>
        <v/>
      </c>
      <c r="R57" s="32" t="str">
        <f t="shared" si="22"/>
        <v/>
      </c>
      <c r="S57" s="31" t="str">
        <f t="shared" si="23"/>
        <v/>
      </c>
      <c r="T57" s="32" t="str">
        <f t="shared" si="24"/>
        <v/>
      </c>
      <c r="U57" s="27" t="str">
        <f t="shared" si="25"/>
        <v/>
      </c>
      <c r="V57" s="30" t="str">
        <f t="shared" si="26"/>
        <v xml:space="preserve"> -  </v>
      </c>
      <c r="W57" t="str">
        <f t="shared" si="27"/>
        <v>/  /  /</v>
      </c>
      <c r="X57" s="17" t="str">
        <f t="shared" si="28"/>
        <v>/</v>
      </c>
      <c r="Y57" s="17" t="str">
        <f t="shared" si="29"/>
        <v>/</v>
      </c>
      <c r="Z57" s="17" t="str">
        <f t="shared" si="30"/>
        <v>/</v>
      </c>
      <c r="AA57" s="170" t="str">
        <f t="shared" si="31"/>
        <v/>
      </c>
      <c r="AB57" s="170" t="str">
        <f t="shared" si="32"/>
        <v/>
      </c>
      <c r="AC57" s="170" t="str">
        <f t="shared" si="33"/>
        <v/>
      </c>
    </row>
    <row r="58" spans="1:29">
      <c r="A58" s="583">
        <v>11</v>
      </c>
      <c r="Q58" s="32" t="str">
        <f t="shared" si="21"/>
        <v/>
      </c>
      <c r="R58" s="32" t="str">
        <f t="shared" si="22"/>
        <v/>
      </c>
      <c r="S58" s="31" t="str">
        <f t="shared" si="23"/>
        <v/>
      </c>
      <c r="T58" s="32" t="str">
        <f t="shared" si="24"/>
        <v/>
      </c>
      <c r="U58" s="27" t="str">
        <f t="shared" si="25"/>
        <v/>
      </c>
      <c r="V58" s="30" t="str">
        <f t="shared" si="26"/>
        <v xml:space="preserve"> -  </v>
      </c>
      <c r="W58" t="str">
        <f t="shared" si="27"/>
        <v>/  /  /</v>
      </c>
      <c r="X58" s="17" t="str">
        <f t="shared" si="28"/>
        <v>/</v>
      </c>
      <c r="Y58" s="17" t="str">
        <f t="shared" si="29"/>
        <v>/</v>
      </c>
      <c r="Z58" s="17" t="str">
        <f t="shared" si="30"/>
        <v>/</v>
      </c>
      <c r="AA58" s="170" t="str">
        <f t="shared" si="31"/>
        <v/>
      </c>
      <c r="AB58" s="170" t="str">
        <f t="shared" si="32"/>
        <v/>
      </c>
      <c r="AC58" s="170" t="str">
        <f t="shared" si="33"/>
        <v/>
      </c>
    </row>
    <row r="59" spans="1:29">
      <c r="A59" s="583">
        <v>12</v>
      </c>
      <c r="Q59" s="32" t="str">
        <f t="shared" si="21"/>
        <v/>
      </c>
      <c r="R59" s="32" t="str">
        <f t="shared" si="22"/>
        <v/>
      </c>
      <c r="S59" s="31" t="str">
        <f t="shared" si="23"/>
        <v/>
      </c>
      <c r="T59" s="32" t="str">
        <f t="shared" si="24"/>
        <v/>
      </c>
      <c r="U59" s="27" t="str">
        <f t="shared" si="25"/>
        <v/>
      </c>
      <c r="V59" s="30" t="str">
        <f t="shared" si="26"/>
        <v xml:space="preserve"> -  </v>
      </c>
      <c r="W59" t="str">
        <f t="shared" si="27"/>
        <v>/  /  /</v>
      </c>
      <c r="X59" s="17" t="str">
        <f t="shared" si="28"/>
        <v>/</v>
      </c>
      <c r="Y59" s="17" t="str">
        <f t="shared" si="29"/>
        <v>/</v>
      </c>
      <c r="Z59" s="17" t="str">
        <f t="shared" si="30"/>
        <v>/</v>
      </c>
      <c r="AA59" s="170" t="str">
        <f t="shared" si="31"/>
        <v/>
      </c>
      <c r="AB59" s="170" t="str">
        <f t="shared" si="32"/>
        <v/>
      </c>
      <c r="AC59" s="170" t="str">
        <f t="shared" si="33"/>
        <v/>
      </c>
    </row>
    <row r="60" spans="1:29">
      <c r="A60" s="583">
        <v>13</v>
      </c>
      <c r="Q60" s="32" t="str">
        <f t="shared" si="21"/>
        <v/>
      </c>
      <c r="R60" s="32" t="str">
        <f t="shared" si="22"/>
        <v/>
      </c>
      <c r="S60" s="31" t="str">
        <f t="shared" si="23"/>
        <v/>
      </c>
      <c r="T60" s="32" t="str">
        <f t="shared" si="24"/>
        <v/>
      </c>
      <c r="U60" s="27" t="str">
        <f t="shared" si="25"/>
        <v/>
      </c>
      <c r="V60" s="30" t="str">
        <f t="shared" si="26"/>
        <v xml:space="preserve"> -  </v>
      </c>
      <c r="W60" t="str">
        <f t="shared" si="27"/>
        <v>/  /  /</v>
      </c>
      <c r="X60" s="17" t="str">
        <f t="shared" si="28"/>
        <v>/</v>
      </c>
      <c r="Y60" s="17" t="str">
        <f t="shared" si="29"/>
        <v>/</v>
      </c>
      <c r="Z60" s="17" t="str">
        <f t="shared" si="30"/>
        <v>/</v>
      </c>
      <c r="AA60" s="170" t="str">
        <f t="shared" si="31"/>
        <v/>
      </c>
      <c r="AB60" s="170" t="str">
        <f t="shared" si="32"/>
        <v/>
      </c>
      <c r="AC60" s="170" t="str">
        <f t="shared" si="33"/>
        <v/>
      </c>
    </row>
    <row r="61" spans="1:29">
      <c r="A61" s="583">
        <v>14</v>
      </c>
      <c r="U61" s="27" t="str">
        <f t="shared" si="8"/>
        <v/>
      </c>
    </row>
    <row r="62" spans="1:29">
      <c r="A62" s="583">
        <v>15</v>
      </c>
      <c r="U62" s="27" t="str">
        <f t="shared" si="8"/>
        <v/>
      </c>
    </row>
    <row r="63" spans="1:29">
      <c r="A63" s="583">
        <v>16</v>
      </c>
      <c r="U63" s="27" t="str">
        <f t="shared" si="8"/>
        <v/>
      </c>
    </row>
    <row r="64" spans="1:29">
      <c r="A64" s="583">
        <v>17</v>
      </c>
      <c r="U64" s="27" t="str">
        <f t="shared" si="8"/>
        <v/>
      </c>
    </row>
    <row r="65" spans="1:21">
      <c r="A65" s="583">
        <v>18</v>
      </c>
      <c r="U65" s="27" t="str">
        <f t="shared" si="8"/>
        <v/>
      </c>
    </row>
    <row r="66" spans="1:21">
      <c r="A66" s="583">
        <v>19</v>
      </c>
      <c r="U66" s="27" t="str">
        <f t="shared" si="8"/>
        <v/>
      </c>
    </row>
    <row r="67" spans="1:21">
      <c r="A67" s="583">
        <v>20</v>
      </c>
      <c r="U67" s="27" t="str">
        <f t="shared" ref="U67:U80" si="34">IF(B67="","",IF(O67=TRUE,Q67&amp;"  v  "&amp;R67&amp;"  OFF",Q67&amp;"  v  "&amp;R67&amp;"   "&amp;W67))</f>
        <v/>
      </c>
    </row>
    <row r="68" spans="1:21">
      <c r="A68" s="583">
        <v>21</v>
      </c>
      <c r="U68" s="27" t="str">
        <f t="shared" si="34"/>
        <v/>
      </c>
    </row>
    <row r="69" spans="1:21">
      <c r="A69" s="583">
        <v>22</v>
      </c>
      <c r="U69" s="27" t="str">
        <f t="shared" si="34"/>
        <v/>
      </c>
    </row>
    <row r="70" spans="1:21">
      <c r="A70" s="583">
        <v>23</v>
      </c>
      <c r="U70" s="27" t="str">
        <f t="shared" si="34"/>
        <v/>
      </c>
    </row>
    <row r="71" spans="1:21">
      <c r="A71" s="583">
        <v>24</v>
      </c>
      <c r="U71" s="27" t="str">
        <f t="shared" si="34"/>
        <v/>
      </c>
    </row>
    <row r="72" spans="1:21">
      <c r="A72" s="583">
        <v>25</v>
      </c>
      <c r="U72" s="27" t="str">
        <f t="shared" si="34"/>
        <v/>
      </c>
    </row>
    <row r="73" spans="1:21">
      <c r="A73" s="583">
        <v>26</v>
      </c>
      <c r="U73" s="27" t="str">
        <f t="shared" si="34"/>
        <v/>
      </c>
    </row>
    <row r="74" spans="1:21">
      <c r="A74" s="583">
        <v>27</v>
      </c>
      <c r="U74" s="27" t="str">
        <f t="shared" si="34"/>
        <v/>
      </c>
    </row>
    <row r="75" spans="1:21">
      <c r="A75" s="583">
        <v>28</v>
      </c>
      <c r="U75" s="27" t="str">
        <f t="shared" si="34"/>
        <v/>
      </c>
    </row>
    <row r="76" spans="1:21">
      <c r="A76" s="583">
        <v>29</v>
      </c>
      <c r="U76" s="27" t="str">
        <f t="shared" si="34"/>
        <v/>
      </c>
    </row>
    <row r="77" spans="1:21">
      <c r="A77" s="583">
        <v>30</v>
      </c>
      <c r="U77" s="27" t="str">
        <f t="shared" si="34"/>
        <v/>
      </c>
    </row>
    <row r="78" spans="1:21">
      <c r="A78" s="583">
        <v>31</v>
      </c>
      <c r="U78" s="27" t="str">
        <f t="shared" si="34"/>
        <v/>
      </c>
    </row>
    <row r="79" spans="1:21">
      <c r="A79" s="583">
        <v>32</v>
      </c>
      <c r="U79" s="27" t="str">
        <f t="shared" si="34"/>
        <v/>
      </c>
    </row>
    <row r="80" spans="1:21">
      <c r="A80" s="583">
        <v>33</v>
      </c>
      <c r="U80" s="27" t="str">
        <f t="shared" si="34"/>
        <v/>
      </c>
    </row>
    <row r="81" spans="1:1">
      <c r="A81" s="583">
        <v>34</v>
      </c>
    </row>
    <row r="82" spans="1:1">
      <c r="A82" s="583">
        <v>35</v>
      </c>
    </row>
    <row r="83" spans="1:1">
      <c r="A83" s="583">
        <v>36</v>
      </c>
    </row>
    <row r="84" spans="1:1">
      <c r="A84" s="583">
        <v>37</v>
      </c>
    </row>
    <row r="85" spans="1:1">
      <c r="A85" s="583">
        <v>38</v>
      </c>
    </row>
    <row r="86" spans="1:1">
      <c r="A86" s="583">
        <v>39</v>
      </c>
    </row>
    <row r="87" spans="1:1">
      <c r="A87" s="583">
        <v>40</v>
      </c>
    </row>
    <row r="88" spans="1:1">
      <c r="A88" s="583">
        <v>41</v>
      </c>
    </row>
    <row r="89" spans="1:1">
      <c r="A89" s="583">
        <v>42</v>
      </c>
    </row>
    <row r="90" spans="1:1">
      <c r="A90" s="583">
        <v>43</v>
      </c>
    </row>
    <row r="91" spans="1:1">
      <c r="A91" s="583">
        <v>44</v>
      </c>
    </row>
    <row r="92" spans="1:1">
      <c r="A92" s="583">
        <v>45</v>
      </c>
    </row>
    <row r="93" spans="1:1">
      <c r="A93" s="583">
        <v>46</v>
      </c>
    </row>
    <row r="94" spans="1:1">
      <c r="A94" s="583">
        <v>1</v>
      </c>
    </row>
    <row r="95" spans="1:1">
      <c r="A95" s="583">
        <v>2</v>
      </c>
    </row>
    <row r="96" spans="1:1">
      <c r="A96" s="583">
        <v>3</v>
      </c>
    </row>
    <row r="97" spans="1:1">
      <c r="A97" s="583">
        <v>4</v>
      </c>
    </row>
    <row r="98" spans="1:1">
      <c r="A98" s="583">
        <v>5</v>
      </c>
    </row>
    <row r="99" spans="1:1">
      <c r="A99" s="583">
        <v>6</v>
      </c>
    </row>
    <row r="100" spans="1:1">
      <c r="A100" s="583">
        <v>7</v>
      </c>
    </row>
    <row r="101" spans="1:1">
      <c r="A101" s="583">
        <v>8</v>
      </c>
    </row>
    <row r="102" spans="1:1">
      <c r="A102" s="583">
        <v>9</v>
      </c>
    </row>
    <row r="103" spans="1:1">
      <c r="A103" s="583">
        <v>10</v>
      </c>
    </row>
    <row r="104" spans="1:1">
      <c r="A104" s="583">
        <v>11</v>
      </c>
    </row>
    <row r="105" spans="1:1">
      <c r="A105" s="583">
        <v>12</v>
      </c>
    </row>
    <row r="106" spans="1:1">
      <c r="A106" s="583">
        <v>13</v>
      </c>
    </row>
    <row r="107" spans="1:1">
      <c r="A107" s="583">
        <v>14</v>
      </c>
    </row>
    <row r="108" spans="1:1">
      <c r="A108" s="583">
        <v>15</v>
      </c>
    </row>
    <row r="109" spans="1:1">
      <c r="A109" s="583">
        <v>16</v>
      </c>
    </row>
    <row r="110" spans="1:1">
      <c r="A110" s="583">
        <v>17</v>
      </c>
    </row>
    <row r="111" spans="1:1">
      <c r="A111" s="583">
        <v>18</v>
      </c>
    </row>
    <row r="112" spans="1:1">
      <c r="A112" s="583">
        <v>19</v>
      </c>
    </row>
    <row r="113" spans="1:1">
      <c r="A113" s="583">
        <v>20</v>
      </c>
    </row>
    <row r="114" spans="1:1">
      <c r="A114" s="583">
        <v>21</v>
      </c>
    </row>
    <row r="115" spans="1:1">
      <c r="A115" s="583">
        <v>22</v>
      </c>
    </row>
    <row r="116" spans="1:1">
      <c r="A116" s="583">
        <v>23</v>
      </c>
    </row>
    <row r="117" spans="1:1">
      <c r="A117" s="583">
        <v>24</v>
      </c>
    </row>
    <row r="118" spans="1:1">
      <c r="A118" s="583">
        <v>25</v>
      </c>
    </row>
    <row r="119" spans="1:1">
      <c r="A119" s="583">
        <v>26</v>
      </c>
    </row>
    <row r="120" spans="1:1">
      <c r="A120" s="583">
        <v>27</v>
      </c>
    </row>
    <row r="121" spans="1:1">
      <c r="A121" s="583">
        <v>28</v>
      </c>
    </row>
    <row r="122" spans="1:1">
      <c r="A122" s="583">
        <v>29</v>
      </c>
    </row>
    <row r="123" spans="1:1">
      <c r="A123" s="583">
        <v>30</v>
      </c>
    </row>
    <row r="124" spans="1:1">
      <c r="A124" s="583">
        <v>31</v>
      </c>
    </row>
    <row r="125" spans="1:1">
      <c r="A125" s="583">
        <v>32</v>
      </c>
    </row>
    <row r="126" spans="1:1">
      <c r="A126" s="583">
        <v>33</v>
      </c>
    </row>
    <row r="127" spans="1:1">
      <c r="A127" s="583">
        <v>34</v>
      </c>
    </row>
    <row r="128" spans="1:1">
      <c r="A128" s="583">
        <v>35</v>
      </c>
    </row>
    <row r="129" spans="1:1">
      <c r="A129" s="583">
        <v>36</v>
      </c>
    </row>
    <row r="130" spans="1:1">
      <c r="A130" s="583">
        <v>37</v>
      </c>
    </row>
    <row r="131" spans="1:1">
      <c r="A131" s="583">
        <v>38</v>
      </c>
    </row>
    <row r="132" spans="1:1">
      <c r="A132" s="583">
        <v>39</v>
      </c>
    </row>
    <row r="133" spans="1:1">
      <c r="A133" s="583">
        <v>40</v>
      </c>
    </row>
    <row r="134" spans="1:1">
      <c r="A134" s="583">
        <v>41</v>
      </c>
    </row>
    <row r="135" spans="1:1">
      <c r="A135" s="583">
        <v>42</v>
      </c>
    </row>
    <row r="136" spans="1:1">
      <c r="A136" s="583">
        <v>43</v>
      </c>
    </row>
    <row r="137" spans="1:1">
      <c r="A137" s="583">
        <v>44</v>
      </c>
    </row>
    <row r="138" spans="1:1">
      <c r="A138" s="583">
        <v>45</v>
      </c>
    </row>
    <row r="139" spans="1:1">
      <c r="A139" s="583">
        <v>46</v>
      </c>
    </row>
  </sheetData>
  <autoFilter ref="A1:AC139" xr:uid="{00000000-0001-0000-0800-000000000000}"/>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FF00"/>
  </sheetPr>
  <dimension ref="A1:K132"/>
  <sheetViews>
    <sheetView workbookViewId="0">
      <pane ySplit="1" topLeftCell="A4" activePane="bottomLeft" state="frozen"/>
      <selection pane="bottomLeft" activeCell="I4" sqref="I4"/>
    </sheetView>
  </sheetViews>
  <sheetFormatPr defaultRowHeight="12.75"/>
  <cols>
    <col min="1" max="1" width="16" bestFit="1" customWidth="1"/>
    <col min="2" max="3" width="8.73046875" bestFit="1" customWidth="1"/>
    <col min="4" max="5" width="10.265625" bestFit="1" customWidth="1"/>
    <col min="9" max="9" width="29" customWidth="1"/>
    <col min="10" max="11" width="11.73046875" customWidth="1"/>
  </cols>
  <sheetData>
    <row r="1" spans="1:11" ht="96" customHeight="1"/>
    <row r="2" spans="1:11" ht="26.65" customHeight="1"/>
    <row r="3" spans="1:11">
      <c r="A3" s="329" t="s">
        <v>421</v>
      </c>
      <c r="B3" s="329" t="s">
        <v>17</v>
      </c>
      <c r="C3" s="665"/>
      <c r="D3" s="499"/>
    </row>
    <row r="4" spans="1:11">
      <c r="A4" s="329" t="s">
        <v>450</v>
      </c>
      <c r="B4" s="454">
        <v>0</v>
      </c>
      <c r="C4" s="511">
        <v>1</v>
      </c>
      <c r="D4" s="330" t="s">
        <v>144</v>
      </c>
      <c r="I4" s="89" t="s">
        <v>478</v>
      </c>
      <c r="J4" s="89" t="s">
        <v>477</v>
      </c>
      <c r="K4" s="89" t="s">
        <v>52</v>
      </c>
    </row>
    <row r="5" spans="1:11">
      <c r="A5" s="454" t="s">
        <v>580</v>
      </c>
      <c r="B5" s="737"/>
      <c r="C5" s="738">
        <v>3</v>
      </c>
      <c r="D5" s="734">
        <v>3</v>
      </c>
      <c r="I5" s="454" t="s">
        <v>348</v>
      </c>
      <c r="J5" s="454">
        <v>6</v>
      </c>
      <c r="K5" s="511"/>
    </row>
    <row r="6" spans="1:11">
      <c r="A6" s="455" t="s">
        <v>586</v>
      </c>
      <c r="B6" s="739">
        <v>1</v>
      </c>
      <c r="C6" s="740"/>
      <c r="D6" s="735">
        <v>1</v>
      </c>
      <c r="I6" s="454" t="s">
        <v>640</v>
      </c>
      <c r="J6" s="454">
        <v>5</v>
      </c>
      <c r="K6" s="511"/>
    </row>
    <row r="7" spans="1:11">
      <c r="A7" s="455" t="s">
        <v>555</v>
      </c>
      <c r="B7" s="739">
        <v>1</v>
      </c>
      <c r="C7" s="740"/>
      <c r="D7" s="735">
        <v>1</v>
      </c>
      <c r="I7" s="454" t="s">
        <v>628</v>
      </c>
      <c r="J7" s="454">
        <v>4</v>
      </c>
      <c r="K7" s="511"/>
    </row>
    <row r="8" spans="1:11">
      <c r="A8" s="455" t="s">
        <v>645</v>
      </c>
      <c r="B8" s="739">
        <v>2</v>
      </c>
      <c r="C8" s="740"/>
      <c r="D8" s="735">
        <v>2</v>
      </c>
      <c r="I8" s="454" t="s">
        <v>618</v>
      </c>
      <c r="J8" s="454">
        <v>4</v>
      </c>
      <c r="K8" s="511"/>
    </row>
    <row r="9" spans="1:11">
      <c r="A9" s="455" t="s">
        <v>641</v>
      </c>
      <c r="B9" s="739">
        <v>2</v>
      </c>
      <c r="C9" s="740"/>
      <c r="D9" s="735">
        <v>2</v>
      </c>
      <c r="I9" s="454" t="s">
        <v>605</v>
      </c>
      <c r="J9" s="454">
        <v>3</v>
      </c>
      <c r="K9" s="511"/>
    </row>
    <row r="10" spans="1:11">
      <c r="A10" s="455" t="s">
        <v>650</v>
      </c>
      <c r="B10" s="739">
        <v>2</v>
      </c>
      <c r="C10" s="740"/>
      <c r="D10" s="735">
        <v>2</v>
      </c>
      <c r="I10" s="454" t="s">
        <v>646</v>
      </c>
      <c r="J10" s="454">
        <v>3</v>
      </c>
      <c r="K10" s="511"/>
    </row>
    <row r="11" spans="1:11">
      <c r="A11" s="455" t="s">
        <v>649</v>
      </c>
      <c r="B11" s="739">
        <v>1</v>
      </c>
      <c r="C11" s="740"/>
      <c r="D11" s="735">
        <v>1</v>
      </c>
      <c r="I11" s="454" t="s">
        <v>601</v>
      </c>
      <c r="J11" s="454">
        <v>3</v>
      </c>
      <c r="K11" s="511"/>
    </row>
    <row r="12" spans="1:11">
      <c r="A12" s="455" t="s">
        <v>644</v>
      </c>
      <c r="B12" s="739"/>
      <c r="C12" s="740">
        <v>4</v>
      </c>
      <c r="D12" s="735">
        <v>4</v>
      </c>
      <c r="I12" s="454" t="s">
        <v>638</v>
      </c>
      <c r="J12" s="454">
        <v>3</v>
      </c>
      <c r="K12" s="511"/>
    </row>
    <row r="13" spans="1:11">
      <c r="A13" s="455" t="s">
        <v>651</v>
      </c>
      <c r="B13" s="739">
        <v>1</v>
      </c>
      <c r="C13" s="740"/>
      <c r="D13" s="735">
        <v>1</v>
      </c>
      <c r="I13" s="454" t="s">
        <v>643</v>
      </c>
      <c r="J13" s="454">
        <v>3</v>
      </c>
      <c r="K13" s="511"/>
    </row>
    <row r="14" spans="1:11">
      <c r="A14" s="455" t="s">
        <v>566</v>
      </c>
      <c r="B14" s="739"/>
      <c r="C14" s="740">
        <v>1</v>
      </c>
      <c r="D14" s="735">
        <v>1</v>
      </c>
      <c r="I14" s="454" t="s">
        <v>619</v>
      </c>
      <c r="J14" s="454">
        <v>3</v>
      </c>
      <c r="K14" s="511"/>
    </row>
    <row r="15" spans="1:11">
      <c r="A15" s="455" t="s">
        <v>415</v>
      </c>
      <c r="B15" s="739"/>
      <c r="C15" s="740">
        <v>2</v>
      </c>
      <c r="D15" s="735">
        <v>2</v>
      </c>
      <c r="I15" s="454" t="s">
        <v>642</v>
      </c>
      <c r="J15" s="454">
        <v>3</v>
      </c>
      <c r="K15" s="511"/>
    </row>
    <row r="16" spans="1:11">
      <c r="A16" s="455" t="s">
        <v>655</v>
      </c>
      <c r="B16" s="739"/>
      <c r="C16" s="740">
        <v>1</v>
      </c>
      <c r="D16" s="735">
        <v>1</v>
      </c>
      <c r="I16" s="454" t="s">
        <v>658</v>
      </c>
      <c r="J16" s="454">
        <v>3</v>
      </c>
      <c r="K16" s="511"/>
    </row>
    <row r="17" spans="1:11">
      <c r="A17" s="455" t="s">
        <v>639</v>
      </c>
      <c r="B17" s="739">
        <v>1</v>
      </c>
      <c r="C17" s="740"/>
      <c r="D17" s="735">
        <v>1</v>
      </c>
      <c r="I17" s="454" t="s">
        <v>645</v>
      </c>
      <c r="J17" s="454">
        <v>2</v>
      </c>
      <c r="K17" s="511"/>
    </row>
    <row r="18" spans="1:11">
      <c r="A18" s="455" t="s">
        <v>604</v>
      </c>
      <c r="B18" s="739"/>
      <c r="C18" s="740">
        <v>5</v>
      </c>
      <c r="D18" s="735">
        <v>5</v>
      </c>
      <c r="I18" s="454" t="s">
        <v>641</v>
      </c>
      <c r="J18" s="454">
        <v>2</v>
      </c>
      <c r="K18" s="511"/>
    </row>
    <row r="19" spans="1:11">
      <c r="A19" s="455" t="s">
        <v>426</v>
      </c>
      <c r="B19" s="739"/>
      <c r="C19" s="740">
        <v>1</v>
      </c>
      <c r="D19" s="735">
        <v>1</v>
      </c>
      <c r="I19" s="454" t="s">
        <v>650</v>
      </c>
      <c r="J19" s="454">
        <v>2</v>
      </c>
      <c r="K19" s="511"/>
    </row>
    <row r="20" spans="1:11">
      <c r="A20" s="455" t="s">
        <v>605</v>
      </c>
      <c r="B20" s="739">
        <v>3</v>
      </c>
      <c r="C20" s="740"/>
      <c r="D20" s="735">
        <v>3</v>
      </c>
      <c r="I20" s="454" t="s">
        <v>602</v>
      </c>
      <c r="J20" s="454">
        <v>2</v>
      </c>
      <c r="K20" s="511"/>
    </row>
    <row r="21" spans="1:11">
      <c r="A21" s="455" t="s">
        <v>517</v>
      </c>
      <c r="B21" s="739"/>
      <c r="C21" s="740">
        <v>6</v>
      </c>
      <c r="D21" s="735">
        <v>6</v>
      </c>
      <c r="I21" s="454" t="s">
        <v>591</v>
      </c>
      <c r="J21" s="454">
        <v>2</v>
      </c>
      <c r="K21" s="511"/>
    </row>
    <row r="22" spans="1:11">
      <c r="A22" s="455" t="s">
        <v>429</v>
      </c>
      <c r="B22" s="739"/>
      <c r="C22" s="740">
        <v>1</v>
      </c>
      <c r="D22" s="735">
        <v>1</v>
      </c>
      <c r="I22" s="454" t="s">
        <v>656</v>
      </c>
      <c r="J22" s="454">
        <v>2</v>
      </c>
      <c r="K22" s="511"/>
    </row>
    <row r="23" spans="1:11">
      <c r="A23" s="455" t="s">
        <v>637</v>
      </c>
      <c r="B23" s="739"/>
      <c r="C23" s="740">
        <v>6</v>
      </c>
      <c r="D23" s="735">
        <v>6</v>
      </c>
      <c r="I23" s="454" t="s">
        <v>586</v>
      </c>
      <c r="J23" s="454">
        <v>1</v>
      </c>
      <c r="K23" s="511"/>
    </row>
    <row r="24" spans="1:11">
      <c r="A24" s="455" t="s">
        <v>602</v>
      </c>
      <c r="B24" s="739">
        <v>2</v>
      </c>
      <c r="C24" s="740"/>
      <c r="D24" s="735">
        <v>2</v>
      </c>
      <c r="I24" s="454" t="s">
        <v>555</v>
      </c>
      <c r="J24" s="454">
        <v>1</v>
      </c>
      <c r="K24" s="511"/>
    </row>
    <row r="25" spans="1:11">
      <c r="A25" s="455" t="s">
        <v>628</v>
      </c>
      <c r="B25" s="739">
        <v>4</v>
      </c>
      <c r="C25" s="740"/>
      <c r="D25" s="735">
        <v>4</v>
      </c>
      <c r="I25" s="454" t="s">
        <v>649</v>
      </c>
      <c r="J25" s="454">
        <v>1</v>
      </c>
      <c r="K25" s="511"/>
    </row>
    <row r="26" spans="1:11">
      <c r="A26" s="455" t="s">
        <v>646</v>
      </c>
      <c r="B26" s="739">
        <v>3</v>
      </c>
      <c r="C26" s="740"/>
      <c r="D26" s="735">
        <v>3</v>
      </c>
      <c r="I26" s="454" t="s">
        <v>651</v>
      </c>
      <c r="J26" s="454">
        <v>1</v>
      </c>
      <c r="K26" s="511"/>
    </row>
    <row r="27" spans="1:11">
      <c r="A27" s="455" t="s">
        <v>528</v>
      </c>
      <c r="B27" s="739"/>
      <c r="C27" s="740">
        <v>1</v>
      </c>
      <c r="D27" s="735">
        <v>1</v>
      </c>
      <c r="I27" s="454" t="s">
        <v>639</v>
      </c>
      <c r="J27" s="454">
        <v>1</v>
      </c>
      <c r="K27" s="511"/>
    </row>
    <row r="28" spans="1:11">
      <c r="A28" s="455" t="s">
        <v>598</v>
      </c>
      <c r="B28" s="739">
        <v>1</v>
      </c>
      <c r="C28" s="740"/>
      <c r="D28" s="735">
        <v>1</v>
      </c>
      <c r="I28" s="454" t="s">
        <v>598</v>
      </c>
      <c r="J28" s="454">
        <v>1</v>
      </c>
      <c r="K28" s="511"/>
    </row>
    <row r="29" spans="1:11">
      <c r="A29" s="455" t="s">
        <v>591</v>
      </c>
      <c r="B29" s="739">
        <v>2</v>
      </c>
      <c r="C29" s="740"/>
      <c r="D29" s="735">
        <v>2</v>
      </c>
      <c r="I29" s="454" t="s">
        <v>654</v>
      </c>
      <c r="J29" s="454">
        <v>1</v>
      </c>
      <c r="K29" s="511"/>
    </row>
    <row r="30" spans="1:11">
      <c r="A30" s="455" t="s">
        <v>618</v>
      </c>
      <c r="B30" s="739">
        <v>4</v>
      </c>
      <c r="C30" s="740"/>
      <c r="D30" s="735">
        <v>4</v>
      </c>
      <c r="I30" s="454" t="s">
        <v>578</v>
      </c>
      <c r="J30" s="454">
        <v>1</v>
      </c>
      <c r="K30" s="511"/>
    </row>
    <row r="31" spans="1:11">
      <c r="A31" s="455" t="s">
        <v>654</v>
      </c>
      <c r="B31" s="739">
        <v>1</v>
      </c>
      <c r="C31" s="740"/>
      <c r="D31" s="735">
        <v>1</v>
      </c>
      <c r="I31" s="454" t="s">
        <v>664</v>
      </c>
      <c r="J31" s="454">
        <v>1</v>
      </c>
      <c r="K31" s="511"/>
    </row>
    <row r="32" spans="1:11">
      <c r="A32" s="455" t="s">
        <v>578</v>
      </c>
      <c r="B32" s="739">
        <v>1</v>
      </c>
      <c r="C32" s="740"/>
      <c r="D32" s="735">
        <v>1</v>
      </c>
      <c r="I32" s="454" t="s">
        <v>428</v>
      </c>
      <c r="J32" s="454">
        <v>1</v>
      </c>
      <c r="K32" s="511"/>
    </row>
    <row r="33" spans="1:11">
      <c r="A33" s="455" t="s">
        <v>601</v>
      </c>
      <c r="B33" s="739">
        <v>3</v>
      </c>
      <c r="C33" s="740"/>
      <c r="D33" s="735">
        <v>3</v>
      </c>
      <c r="I33" s="454" t="s">
        <v>570</v>
      </c>
      <c r="J33" s="454">
        <v>1</v>
      </c>
      <c r="K33" s="511"/>
    </row>
    <row r="34" spans="1:11">
      <c r="A34" s="455" t="s">
        <v>630</v>
      </c>
      <c r="B34" s="739"/>
      <c r="C34" s="740">
        <v>1</v>
      </c>
      <c r="D34" s="735">
        <v>1</v>
      </c>
      <c r="I34" s="454" t="s">
        <v>632</v>
      </c>
      <c r="J34" s="454">
        <v>1</v>
      </c>
      <c r="K34" s="511"/>
    </row>
    <row r="35" spans="1:11">
      <c r="A35" s="455" t="s">
        <v>599</v>
      </c>
      <c r="B35" s="739"/>
      <c r="C35" s="740">
        <v>1</v>
      </c>
      <c r="D35" s="735">
        <v>1</v>
      </c>
      <c r="I35" s="454" t="s">
        <v>584</v>
      </c>
      <c r="J35" s="454">
        <v>1</v>
      </c>
      <c r="K35" s="511"/>
    </row>
    <row r="36" spans="1:11">
      <c r="A36" s="455" t="s">
        <v>662</v>
      </c>
      <c r="B36" s="739"/>
      <c r="C36" s="740">
        <v>1</v>
      </c>
      <c r="D36" s="735">
        <v>1</v>
      </c>
      <c r="I36" s="454" t="s">
        <v>653</v>
      </c>
      <c r="J36" s="454">
        <v>1</v>
      </c>
      <c r="K36" s="511"/>
    </row>
    <row r="37" spans="1:11">
      <c r="A37" s="455" t="s">
        <v>348</v>
      </c>
      <c r="B37" s="739">
        <v>6</v>
      </c>
      <c r="C37" s="740"/>
      <c r="D37" s="735">
        <v>6</v>
      </c>
      <c r="I37" s="454" t="s">
        <v>657</v>
      </c>
      <c r="J37" s="454">
        <v>1</v>
      </c>
      <c r="K37" s="511"/>
    </row>
    <row r="38" spans="1:11">
      <c r="A38" s="455" t="s">
        <v>638</v>
      </c>
      <c r="B38" s="739">
        <v>3</v>
      </c>
      <c r="C38" s="740"/>
      <c r="D38" s="735">
        <v>3</v>
      </c>
      <c r="I38" s="454" t="s">
        <v>624</v>
      </c>
      <c r="J38" s="454">
        <v>1</v>
      </c>
      <c r="K38" s="511"/>
    </row>
    <row r="39" spans="1:11">
      <c r="A39" s="455" t="s">
        <v>609</v>
      </c>
      <c r="B39" s="739"/>
      <c r="C39" s="740">
        <v>3</v>
      </c>
      <c r="D39" s="735">
        <v>3</v>
      </c>
      <c r="I39" s="454" t="s">
        <v>661</v>
      </c>
      <c r="J39" s="454">
        <v>1</v>
      </c>
      <c r="K39" s="511"/>
    </row>
    <row r="40" spans="1:11">
      <c r="A40" s="455" t="s">
        <v>571</v>
      </c>
      <c r="B40" s="739"/>
      <c r="C40" s="740">
        <v>2</v>
      </c>
      <c r="D40" s="735">
        <v>2</v>
      </c>
      <c r="I40" s="454" t="s">
        <v>517</v>
      </c>
      <c r="J40" s="454"/>
      <c r="K40" s="511">
        <v>6</v>
      </c>
    </row>
    <row r="41" spans="1:11">
      <c r="A41" s="455" t="s">
        <v>640</v>
      </c>
      <c r="B41" s="739">
        <v>5</v>
      </c>
      <c r="C41" s="740"/>
      <c r="D41" s="735">
        <v>5</v>
      </c>
      <c r="I41" s="454" t="s">
        <v>637</v>
      </c>
      <c r="J41" s="454"/>
      <c r="K41" s="511">
        <v>6</v>
      </c>
    </row>
    <row r="42" spans="1:11">
      <c r="A42" s="455" t="s">
        <v>587</v>
      </c>
      <c r="B42" s="739"/>
      <c r="C42" s="740">
        <v>1</v>
      </c>
      <c r="D42" s="735">
        <v>1</v>
      </c>
      <c r="I42" s="454" t="s">
        <v>604</v>
      </c>
      <c r="J42" s="454"/>
      <c r="K42" s="511">
        <v>5</v>
      </c>
    </row>
    <row r="43" spans="1:11">
      <c r="A43" s="455" t="s">
        <v>664</v>
      </c>
      <c r="B43" s="739">
        <v>1</v>
      </c>
      <c r="C43" s="740"/>
      <c r="D43" s="735">
        <v>1</v>
      </c>
      <c r="I43" s="454" t="s">
        <v>644</v>
      </c>
      <c r="J43" s="454"/>
      <c r="K43" s="511">
        <v>4</v>
      </c>
    </row>
    <row r="44" spans="1:11">
      <c r="A44" s="455" t="s">
        <v>428</v>
      </c>
      <c r="B44" s="739">
        <v>1</v>
      </c>
      <c r="C44" s="740"/>
      <c r="D44" s="735">
        <v>1</v>
      </c>
      <c r="I44" s="454" t="s">
        <v>580</v>
      </c>
      <c r="J44" s="454"/>
      <c r="K44" s="511">
        <v>3</v>
      </c>
    </row>
    <row r="45" spans="1:11">
      <c r="A45" s="455" t="s">
        <v>643</v>
      </c>
      <c r="B45" s="739">
        <v>3</v>
      </c>
      <c r="C45" s="740"/>
      <c r="D45" s="735">
        <v>3</v>
      </c>
      <c r="I45" s="454" t="s">
        <v>609</v>
      </c>
      <c r="J45" s="454"/>
      <c r="K45" s="511">
        <v>3</v>
      </c>
    </row>
    <row r="46" spans="1:11">
      <c r="A46" s="455" t="s">
        <v>570</v>
      </c>
      <c r="B46" s="739">
        <v>1</v>
      </c>
      <c r="C46" s="740"/>
      <c r="D46" s="735">
        <v>1</v>
      </c>
      <c r="I46" s="454" t="s">
        <v>594</v>
      </c>
      <c r="J46" s="454"/>
      <c r="K46" s="511">
        <v>3</v>
      </c>
    </row>
    <row r="47" spans="1:11">
      <c r="A47" s="455" t="s">
        <v>619</v>
      </c>
      <c r="B47" s="739">
        <v>3</v>
      </c>
      <c r="C47" s="740"/>
      <c r="D47" s="735">
        <v>3</v>
      </c>
      <c r="I47" s="454" t="s">
        <v>659</v>
      </c>
      <c r="J47" s="454"/>
      <c r="K47" s="511">
        <v>3</v>
      </c>
    </row>
    <row r="48" spans="1:11">
      <c r="A48" s="455" t="s">
        <v>626</v>
      </c>
      <c r="B48" s="739"/>
      <c r="C48" s="740">
        <v>2</v>
      </c>
      <c r="D48" s="735">
        <v>2</v>
      </c>
      <c r="I48" s="454" t="s">
        <v>660</v>
      </c>
      <c r="J48" s="454"/>
      <c r="K48" s="511">
        <v>3</v>
      </c>
    </row>
    <row r="49" spans="1:11">
      <c r="A49" s="455" t="s">
        <v>594</v>
      </c>
      <c r="B49" s="739"/>
      <c r="C49" s="740">
        <v>3</v>
      </c>
      <c r="D49" s="735">
        <v>3</v>
      </c>
      <c r="I49" s="454" t="s">
        <v>415</v>
      </c>
      <c r="J49" s="454"/>
      <c r="K49" s="511">
        <v>2</v>
      </c>
    </row>
    <row r="50" spans="1:11">
      <c r="A50" s="455" t="s">
        <v>579</v>
      </c>
      <c r="B50" s="739"/>
      <c r="C50" s="740">
        <v>1</v>
      </c>
      <c r="D50" s="735">
        <v>1</v>
      </c>
      <c r="I50" s="454" t="s">
        <v>571</v>
      </c>
      <c r="J50" s="454"/>
      <c r="K50" s="511">
        <v>2</v>
      </c>
    </row>
    <row r="51" spans="1:11">
      <c r="A51" s="455" t="s">
        <v>632</v>
      </c>
      <c r="B51" s="739">
        <v>1</v>
      </c>
      <c r="C51" s="740"/>
      <c r="D51" s="735">
        <v>1</v>
      </c>
      <c r="I51" s="454" t="s">
        <v>626</v>
      </c>
      <c r="J51" s="454"/>
      <c r="K51" s="511">
        <v>2</v>
      </c>
    </row>
    <row r="52" spans="1:11">
      <c r="A52" s="455" t="s">
        <v>584</v>
      </c>
      <c r="B52" s="739">
        <v>1</v>
      </c>
      <c r="C52" s="740"/>
      <c r="D52" s="735">
        <v>1</v>
      </c>
      <c r="I52" s="454" t="s">
        <v>566</v>
      </c>
      <c r="J52" s="454"/>
      <c r="K52" s="511">
        <v>1</v>
      </c>
    </row>
    <row r="53" spans="1:11">
      <c r="A53" s="455" t="s">
        <v>652</v>
      </c>
      <c r="B53" s="739"/>
      <c r="C53" s="740">
        <v>1</v>
      </c>
      <c r="D53" s="735">
        <v>1</v>
      </c>
      <c r="I53" s="454" t="s">
        <v>655</v>
      </c>
      <c r="J53" s="454"/>
      <c r="K53" s="511">
        <v>1</v>
      </c>
    </row>
    <row r="54" spans="1:11">
      <c r="A54" s="455" t="s">
        <v>642</v>
      </c>
      <c r="B54" s="739">
        <v>3</v>
      </c>
      <c r="C54" s="740"/>
      <c r="D54" s="735">
        <v>3</v>
      </c>
      <c r="I54" s="454" t="s">
        <v>426</v>
      </c>
      <c r="J54" s="454"/>
      <c r="K54" s="511">
        <v>1</v>
      </c>
    </row>
    <row r="55" spans="1:11">
      <c r="A55" s="455" t="s">
        <v>653</v>
      </c>
      <c r="B55" s="739">
        <v>1</v>
      </c>
      <c r="C55" s="740"/>
      <c r="D55" s="735">
        <v>1</v>
      </c>
      <c r="I55" s="454" t="s">
        <v>429</v>
      </c>
      <c r="J55" s="454"/>
      <c r="K55" s="511">
        <v>1</v>
      </c>
    </row>
    <row r="56" spans="1:11">
      <c r="A56" s="455" t="s">
        <v>657</v>
      </c>
      <c r="B56" s="739">
        <v>1</v>
      </c>
      <c r="C56" s="740"/>
      <c r="D56" s="735">
        <v>1</v>
      </c>
      <c r="I56" s="454" t="s">
        <v>528</v>
      </c>
      <c r="J56" s="454"/>
      <c r="K56" s="511">
        <v>1</v>
      </c>
    </row>
    <row r="57" spans="1:11">
      <c r="A57" s="455" t="s">
        <v>659</v>
      </c>
      <c r="B57" s="739"/>
      <c r="C57" s="740">
        <v>3</v>
      </c>
      <c r="D57" s="735">
        <v>3</v>
      </c>
      <c r="I57" s="454" t="s">
        <v>630</v>
      </c>
      <c r="J57" s="454"/>
      <c r="K57" s="511">
        <v>1</v>
      </c>
    </row>
    <row r="58" spans="1:11">
      <c r="A58" s="455" t="s">
        <v>660</v>
      </c>
      <c r="B58" s="739"/>
      <c r="C58" s="740">
        <v>3</v>
      </c>
      <c r="D58" s="735">
        <v>3</v>
      </c>
      <c r="I58" s="454" t="s">
        <v>599</v>
      </c>
      <c r="J58" s="454"/>
      <c r="K58" s="511">
        <v>1</v>
      </c>
    </row>
    <row r="59" spans="1:11">
      <c r="A59" s="455" t="s">
        <v>624</v>
      </c>
      <c r="B59" s="739">
        <v>1</v>
      </c>
      <c r="C59" s="740"/>
      <c r="D59" s="735">
        <v>1</v>
      </c>
      <c r="I59" s="454" t="s">
        <v>662</v>
      </c>
      <c r="J59" s="454"/>
      <c r="K59" s="511">
        <v>1</v>
      </c>
    </row>
    <row r="60" spans="1:11">
      <c r="A60" s="455" t="s">
        <v>661</v>
      </c>
      <c r="B60" s="739">
        <v>1</v>
      </c>
      <c r="C60" s="740"/>
      <c r="D60" s="735">
        <v>1</v>
      </c>
      <c r="I60" s="454" t="s">
        <v>587</v>
      </c>
      <c r="J60" s="454"/>
      <c r="K60" s="511">
        <v>1</v>
      </c>
    </row>
    <row r="61" spans="1:11">
      <c r="A61" s="455" t="s">
        <v>658</v>
      </c>
      <c r="B61" s="739">
        <v>3</v>
      </c>
      <c r="C61" s="740"/>
      <c r="D61" s="735">
        <v>3</v>
      </c>
      <c r="I61" s="454" t="s">
        <v>579</v>
      </c>
      <c r="J61" s="454"/>
      <c r="K61" s="511">
        <v>1</v>
      </c>
    </row>
    <row r="62" spans="1:11">
      <c r="A62" s="455" t="s">
        <v>656</v>
      </c>
      <c r="B62" s="739">
        <v>2</v>
      </c>
      <c r="C62" s="740"/>
      <c r="D62" s="735">
        <v>2</v>
      </c>
      <c r="I62" s="454" t="s">
        <v>652</v>
      </c>
      <c r="J62" s="454"/>
      <c r="K62" s="511">
        <v>1</v>
      </c>
    </row>
    <row r="63" spans="1:11">
      <c r="A63" s="455" t="s">
        <v>663</v>
      </c>
      <c r="B63" s="739"/>
      <c r="C63" s="740">
        <v>1</v>
      </c>
      <c r="D63" s="735">
        <v>1</v>
      </c>
      <c r="I63" s="454" t="s">
        <v>663</v>
      </c>
      <c r="J63" s="454"/>
      <c r="K63" s="511">
        <v>1</v>
      </c>
    </row>
    <row r="64" spans="1:11">
      <c r="A64" s="456" t="s">
        <v>144</v>
      </c>
      <c r="B64" s="741">
        <v>72</v>
      </c>
      <c r="C64" s="742">
        <v>54</v>
      </c>
      <c r="D64" s="736">
        <v>126</v>
      </c>
      <c r="I64" s="454"/>
      <c r="J64" s="454"/>
      <c r="K64" s="511"/>
    </row>
    <row r="65" spans="9:11">
      <c r="I65" s="454"/>
      <c r="J65" s="454"/>
      <c r="K65" s="511"/>
    </row>
    <row r="66" spans="9:11">
      <c r="I66" s="454"/>
      <c r="J66" s="454"/>
      <c r="K66" s="511"/>
    </row>
    <row r="67" spans="9:11">
      <c r="I67" s="454"/>
      <c r="J67" s="454"/>
      <c r="K67" s="511"/>
    </row>
    <row r="68" spans="9:11">
      <c r="I68" s="454"/>
      <c r="J68" s="454"/>
      <c r="K68" s="511"/>
    </row>
    <row r="69" spans="9:11">
      <c r="I69" s="454"/>
      <c r="J69" s="454"/>
      <c r="K69" s="511"/>
    </row>
    <row r="70" spans="9:11">
      <c r="I70" s="454"/>
      <c r="J70" s="454"/>
      <c r="K70" s="511"/>
    </row>
    <row r="71" spans="9:11">
      <c r="I71" s="454"/>
      <c r="J71" s="454"/>
      <c r="K71" s="511"/>
    </row>
    <row r="72" spans="9:11">
      <c r="I72" s="454"/>
      <c r="J72" s="454"/>
      <c r="K72" s="511"/>
    </row>
    <row r="73" spans="9:11">
      <c r="I73" s="454"/>
      <c r="J73" s="454"/>
      <c r="K73" s="511"/>
    </row>
    <row r="74" spans="9:11">
      <c r="I74" s="454"/>
      <c r="J74" s="454"/>
      <c r="K74" s="511"/>
    </row>
    <row r="75" spans="9:11">
      <c r="I75" s="454"/>
      <c r="J75" s="454"/>
      <c r="K75" s="511"/>
    </row>
    <row r="76" spans="9:11">
      <c r="I76" s="454"/>
      <c r="J76" s="454"/>
      <c r="K76" s="511"/>
    </row>
    <row r="77" spans="9:11">
      <c r="I77" s="454"/>
      <c r="J77" s="454"/>
      <c r="K77" s="511"/>
    </row>
    <row r="78" spans="9:11">
      <c r="I78" s="454"/>
      <c r="J78" s="454"/>
      <c r="K78" s="511"/>
    </row>
    <row r="79" spans="9:11">
      <c r="I79" s="454"/>
      <c r="J79" s="454"/>
      <c r="K79" s="511"/>
    </row>
    <row r="80" spans="9:11">
      <c r="I80" s="454"/>
      <c r="J80" s="454"/>
      <c r="K80" s="511"/>
    </row>
    <row r="81" spans="9:11">
      <c r="I81" s="454"/>
      <c r="J81" s="454"/>
      <c r="K81" s="511"/>
    </row>
    <row r="82" spans="9:11">
      <c r="I82" s="454"/>
      <c r="J82" s="454"/>
      <c r="K82" s="511"/>
    </row>
    <row r="83" spans="9:11">
      <c r="I83" s="454"/>
      <c r="J83" s="454"/>
      <c r="K83" s="511"/>
    </row>
    <row r="84" spans="9:11">
      <c r="I84" s="454"/>
      <c r="J84" s="454"/>
      <c r="K84" s="511"/>
    </row>
    <row r="85" spans="9:11">
      <c r="I85" s="454"/>
      <c r="J85" s="454"/>
      <c r="K85" s="511"/>
    </row>
    <row r="86" spans="9:11">
      <c r="I86" s="454"/>
      <c r="J86" s="454"/>
      <c r="K86" s="511"/>
    </row>
    <row r="87" spans="9:11">
      <c r="I87" s="454"/>
      <c r="J87" s="454"/>
      <c r="K87" s="511"/>
    </row>
    <row r="88" spans="9:11">
      <c r="I88" s="454"/>
      <c r="J88" s="454"/>
      <c r="K88" s="511"/>
    </row>
    <row r="89" spans="9:11">
      <c r="I89" s="454"/>
      <c r="J89" s="454"/>
      <c r="K89" s="511"/>
    </row>
    <row r="90" spans="9:11">
      <c r="I90" s="454"/>
      <c r="J90" s="454"/>
      <c r="K90" s="511"/>
    </row>
    <row r="91" spans="9:11">
      <c r="I91" s="454"/>
      <c r="J91" s="454"/>
      <c r="K91" s="511"/>
    </row>
    <row r="92" spans="9:11">
      <c r="I92" s="454"/>
      <c r="J92" s="454"/>
      <c r="K92" s="511"/>
    </row>
    <row r="93" spans="9:11">
      <c r="I93" s="454"/>
      <c r="J93" s="454"/>
      <c r="K93" s="511"/>
    </row>
    <row r="94" spans="9:11">
      <c r="I94" s="454"/>
      <c r="J94" s="454"/>
      <c r="K94" s="511"/>
    </row>
    <row r="95" spans="9:11">
      <c r="I95" s="454"/>
      <c r="J95" s="454"/>
      <c r="K95" s="511"/>
    </row>
    <row r="96" spans="9:11">
      <c r="I96" s="454"/>
      <c r="J96" s="454"/>
      <c r="K96" s="511"/>
    </row>
    <row r="97" spans="9:11">
      <c r="I97" s="454"/>
      <c r="J97" s="454"/>
      <c r="K97" s="511"/>
    </row>
    <row r="98" spans="9:11">
      <c r="I98" s="454"/>
      <c r="J98" s="454"/>
      <c r="K98" s="511"/>
    </row>
    <row r="99" spans="9:11">
      <c r="I99" s="454"/>
      <c r="J99" s="454"/>
      <c r="K99" s="511"/>
    </row>
    <row r="100" spans="9:11">
      <c r="I100" s="454"/>
      <c r="J100" s="454"/>
      <c r="K100" s="511"/>
    </row>
    <row r="101" spans="9:11">
      <c r="I101" s="454"/>
      <c r="J101" s="454"/>
      <c r="K101" s="511"/>
    </row>
    <row r="102" spans="9:11">
      <c r="I102" s="454"/>
      <c r="J102" s="454"/>
      <c r="K102" s="511"/>
    </row>
    <row r="103" spans="9:11">
      <c r="I103" s="454"/>
      <c r="J103" s="454"/>
      <c r="K103" s="511"/>
    </row>
    <row r="104" spans="9:11">
      <c r="I104" s="454"/>
      <c r="J104" s="454"/>
      <c r="K104" s="511"/>
    </row>
    <row r="105" spans="9:11">
      <c r="I105" s="225"/>
      <c r="J105" s="225"/>
      <c r="K105" s="225"/>
    </row>
    <row r="106" spans="9:11">
      <c r="I106" s="225"/>
      <c r="J106" s="225"/>
      <c r="K106" s="225"/>
    </row>
    <row r="107" spans="9:11">
      <c r="I107" s="225"/>
      <c r="J107" s="225"/>
      <c r="K107" s="225"/>
    </row>
    <row r="108" spans="9:11">
      <c r="I108" s="225"/>
      <c r="J108" s="225"/>
      <c r="K108" s="225"/>
    </row>
    <row r="109" spans="9:11">
      <c r="I109" s="225"/>
      <c r="J109" s="225"/>
      <c r="K109" s="225"/>
    </row>
    <row r="110" spans="9:11">
      <c r="I110" s="225"/>
      <c r="J110" s="225"/>
      <c r="K110" s="225"/>
    </row>
    <row r="111" spans="9:11">
      <c r="I111" s="225"/>
      <c r="J111" s="225"/>
      <c r="K111" s="225"/>
    </row>
    <row r="112" spans="9:11">
      <c r="I112" s="225"/>
      <c r="J112" s="225"/>
      <c r="K112" s="225"/>
    </row>
    <row r="113" spans="9:11">
      <c r="I113" s="225"/>
      <c r="J113" s="225"/>
      <c r="K113" s="225"/>
    </row>
    <row r="114" spans="9:11">
      <c r="I114" s="225"/>
      <c r="J114" s="225"/>
      <c r="K114" s="225"/>
    </row>
    <row r="115" spans="9:11">
      <c r="I115" s="225"/>
      <c r="J115" s="225"/>
      <c r="K115" s="225"/>
    </row>
    <row r="116" spans="9:11">
      <c r="I116" s="225"/>
      <c r="J116" s="225"/>
      <c r="K116" s="225"/>
    </row>
    <row r="117" spans="9:11">
      <c r="I117" s="225"/>
      <c r="J117" s="225"/>
      <c r="K117" s="225"/>
    </row>
    <row r="118" spans="9:11">
      <c r="I118" s="225"/>
      <c r="J118" s="225"/>
      <c r="K118" s="225"/>
    </row>
    <row r="119" spans="9:11">
      <c r="I119" s="225"/>
      <c r="J119" s="225"/>
      <c r="K119" s="225"/>
    </row>
    <row r="120" spans="9:11">
      <c r="I120" s="225"/>
      <c r="J120" s="225"/>
      <c r="K120" s="225"/>
    </row>
    <row r="121" spans="9:11">
      <c r="I121" s="225"/>
      <c r="J121" s="225"/>
      <c r="K121" s="225"/>
    </row>
    <row r="122" spans="9:11">
      <c r="I122" s="225"/>
      <c r="J122" s="225"/>
      <c r="K122" s="225"/>
    </row>
    <row r="123" spans="9:11">
      <c r="I123" s="225"/>
      <c r="J123" s="225"/>
      <c r="K123" s="225"/>
    </row>
    <row r="124" spans="9:11">
      <c r="I124" s="225"/>
      <c r="J124" s="225"/>
      <c r="K124" s="225"/>
    </row>
    <row r="125" spans="9:11">
      <c r="I125" s="225"/>
      <c r="J125" s="225"/>
      <c r="K125" s="225"/>
    </row>
    <row r="126" spans="9:11">
      <c r="I126" s="225"/>
      <c r="J126" s="225"/>
      <c r="K126" s="225"/>
    </row>
    <row r="127" spans="9:11">
      <c r="I127" s="225"/>
      <c r="J127" s="225"/>
      <c r="K127" s="225"/>
    </row>
    <row r="128" spans="9:11">
      <c r="I128" s="225"/>
      <c r="J128" s="225"/>
      <c r="K128" s="225"/>
    </row>
    <row r="129" spans="9:11">
      <c r="I129" s="225"/>
      <c r="J129" s="225"/>
      <c r="K129" s="225"/>
    </row>
    <row r="130" spans="9:11">
      <c r="I130" s="225"/>
      <c r="J130" s="225"/>
      <c r="K130" s="225"/>
    </row>
    <row r="131" spans="9:11">
      <c r="I131" s="225"/>
      <c r="J131" s="225"/>
      <c r="K131" s="225"/>
    </row>
    <row r="132" spans="9:11">
      <c r="I132" s="225"/>
      <c r="J132" s="225"/>
      <c r="K132" s="225"/>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34</vt:i4>
      </vt:variant>
    </vt:vector>
  </HeadingPairs>
  <TitlesOfParts>
    <vt:vector size="56" baseType="lpstr">
      <vt:lpstr>Home</vt:lpstr>
      <vt:lpstr>Table</vt:lpstr>
      <vt:lpstr>Weekly</vt:lpstr>
      <vt:lpstr>Fixture</vt:lpstr>
      <vt:lpstr>Cup</vt:lpstr>
      <vt:lpstr>Images</vt:lpstr>
      <vt:lpstr>Picks</vt:lpstr>
      <vt:lpstr>Match</vt:lpstr>
      <vt:lpstr>TopPicks</vt:lpstr>
      <vt:lpstr>Results</vt:lpstr>
      <vt:lpstr>3of3</vt:lpstr>
      <vt:lpstr>CupDraw</vt:lpstr>
      <vt:lpstr>What-If</vt:lpstr>
      <vt:lpstr>Predictions</vt:lpstr>
      <vt:lpstr>Players</vt:lpstr>
      <vt:lpstr>Diary</vt:lpstr>
      <vt:lpstr>Odds</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Inactive</vt:lpstr>
      <vt:lpstr>nonentrants</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SeasonTitle</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2024-03-28T14:25:27Z</cp:lastPrinted>
  <dcterms:created xsi:type="dcterms:W3CDTF">2002-08-12T11:42:50Z</dcterms:created>
  <dcterms:modified xsi:type="dcterms:W3CDTF">2024-04-02T15:14:14Z</dcterms:modified>
</cp:coreProperties>
</file>